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20" yWindow="-60" windowWidth="20730" windowHeight="11100" tabRatio="887" firstSheet="2" activeTab="9"/>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Data" sheetId="1" r:id="rId8"/>
    <sheet name="building" sheetId="55" r:id="rId9"/>
    <sheet name="Abstract" sheetId="71" r:id="rId10"/>
    <sheet name="details" sheetId="72" r:id="rId11"/>
    <sheet name="Print Data" sheetId="73"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s>
  <definedNames>
    <definedName name="____A65539" localSheetId="11">#REF!</definedName>
    <definedName name="____A65539">#REF!</definedName>
    <definedName name="___A65539" localSheetId="11">#REF!</definedName>
    <definedName name="___A65539">#REF!</definedName>
    <definedName name="__A65539" localSheetId="11">#REF!</definedName>
    <definedName name="__A65539">#REF!</definedName>
    <definedName name="_A65539">#REF!</definedName>
    <definedName name="_xlnm._FilterDatabase" localSheetId="8" hidden="1">building!$A$4:$D$501</definedName>
    <definedName name="a">#REF!</definedName>
    <definedName name="a3424\">#REF!</definedName>
    <definedName name="ahfk" localSheetId="9">#REF!</definedName>
    <definedName name="ahfk" localSheetId="10">#REF!</definedName>
    <definedName name="ahfk" localSheetId="11">#REF!</definedName>
    <definedName name="ahfk">#REF!</definedName>
    <definedName name="ahh">#REF!</definedName>
    <definedName name="anbu\">#REF!</definedName>
    <definedName name="ass">#REF!</definedName>
    <definedName name="Beg_Bal">#REF!</definedName>
    <definedName name="c.data">#REF!</definedName>
    <definedName name="c641.">#REF!</definedName>
    <definedName name="Data">#REF!</definedName>
    <definedName name="dd">#REF!</definedName>
    <definedName name="detpada">#REF!</definedName>
    <definedName name="df">#REF!</definedName>
    <definedName name="electri" localSheetId="9">#REF!</definedName>
    <definedName name="electri" localSheetId="10">#REF!</definedName>
    <definedName name="electri" localSheetId="11">#REF!</definedName>
    <definedName name="electri">#REF!</definedName>
    <definedName name="End_Bal">#REF!</definedName>
    <definedName name="er">#REF!</definedName>
    <definedName name="Extra_Pay">#REF!</definedName>
    <definedName name="fgsgsg">#REF!</definedName>
    <definedName name="fhd" localSheetId="9">#REF!</definedName>
    <definedName name="fhd" localSheetId="10">#REF!</definedName>
    <definedName name="fhd" localSheetId="11">#REF!</definedName>
    <definedName name="fhd">#REF!</definedName>
    <definedName name="Full_Print">#REF!</definedName>
    <definedName name="gsgsg">#REF!</definedName>
    <definedName name="Header_Row">ROW(#REF!)</definedName>
    <definedName name="hha">#REF!</definedName>
    <definedName name="hia" localSheetId="9">#REF!</definedName>
    <definedName name="hia" localSheetId="8">#REF!</definedName>
    <definedName name="hia" localSheetId="10">#REF!</definedName>
    <definedName name="hia" localSheetId="0">#REF!</definedName>
    <definedName name="hia" localSheetId="11">#REF!</definedName>
    <definedName name="hia">#REF!</definedName>
    <definedName name="hj">#REF!</definedName>
    <definedName name="i">#REF!</definedName>
    <definedName name="ins" localSheetId="9">#REF!</definedName>
    <definedName name="ins" localSheetId="10">#REF!</definedName>
    <definedName name="ins" localSheetId="11">#REF!</definedName>
    <definedName name="ins">#REF!</definedName>
    <definedName name="Int">#REF!</definedName>
    <definedName name="Interest_Rate">#REF!</definedName>
    <definedName name="k404." localSheetId="9">#REF!</definedName>
    <definedName name="k404." localSheetId="10">#REF!</definedName>
    <definedName name="k404." localSheetId="11">#REF!</definedName>
    <definedName name="k404.">#REF!</definedName>
    <definedName name="kasper">#REF!</definedName>
    <definedName name="Last_Row" localSheetId="11">IF('Print Data'!Values_Entered,Header_Row+'Print Data'!Number_of_Payments,Header_Row)</definedName>
    <definedName name="Last_Row">IF('Print Data'!Values_Entered,Header_Row+'Print Data'!Number_of_Payments,Header_Row)</definedName>
    <definedName name="Loan_Amount" localSheetId="11">#REF!</definedName>
    <definedName name="Loan_Amount">#REF!</definedName>
    <definedName name="Loan_Start" localSheetId="11">#REF!</definedName>
    <definedName name="Loan_Start">#REF!</definedName>
    <definedName name="Loan_Years" localSheetId="11">#REF!</definedName>
    <definedName name="Loan_Years">#REF!</definedName>
    <definedName name="Num_Pmt_Per_Year">#REF!</definedName>
    <definedName name="Number_of_Payments" localSheetId="11">MATCH(0.01,End_Bal,-1)+1</definedName>
    <definedName name="Number_of_Payments">MATCH(0.01,End_Bal,-1)+1</definedName>
    <definedName name="P" localSheetId="11">#REF!</definedName>
    <definedName name="P">#REF!</definedName>
    <definedName name="Pay_Date" localSheetId="11">#REF!</definedName>
    <definedName name="Pay_Date">#REF!</definedName>
    <definedName name="Pay_Num" localSheetId="11">#REF!</definedName>
    <definedName name="Pay_Num">#REF!</definedName>
    <definedName name="payment">#REF!</definedName>
    <definedName name="Payment_Date" localSheetId="11">DATE(YEAR('Print Data'!Loan_Start),MONTH('Print Data'!Loan_Start)+Payment_Number,DAY('Print Data'!Loan_Start))</definedName>
    <definedName name="Payment_Date">DATE(YEAR(Loan_Start),MONTH(Loan_Start)+Payment_Number,DAY(Loan_Start))</definedName>
    <definedName name="pc" localSheetId="9">#REF!</definedName>
    <definedName name="pc" localSheetId="10">#REF!</definedName>
    <definedName name="pc" localSheetId="11">#REF!</definedName>
    <definedName name="pc">#REF!</definedName>
    <definedName name="Princ" localSheetId="11">#REF!</definedName>
    <definedName name="Princ">#REF!</definedName>
    <definedName name="print" localSheetId="9">#REF!</definedName>
    <definedName name="print" localSheetId="8">#REF!</definedName>
    <definedName name="print" localSheetId="10">#REF!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9">Abstract!$A$1:$F$73</definedName>
    <definedName name="_xlnm.Print_Area" localSheetId="8">building!$A$1:$D$1417</definedName>
    <definedName name="_xlnm.Print_Area" localSheetId="7">Data!$T$1:$AE$55</definedName>
    <definedName name="_xlnm.Print_Area" localSheetId="10">details!$A$1:$I$481</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Data'!$A$1:$F$691</definedName>
    <definedName name="_xlnm.Print_Area" localSheetId="6">'Sliding and french window'!$A$80:$G$127</definedName>
    <definedName name="_xlnm.Print_Area">#REF!</definedName>
    <definedName name="Print_Area_MI" localSheetId="3">'  Coastal  Elec.Data '!$F$1:$K$213</definedName>
    <definedName name="PRINT_AREA_MI" localSheetId="9">#REF!</definedName>
    <definedName name="Print_Area_MI" localSheetId="7">Data!$F$1:$K$214</definedName>
    <definedName name="PRINT_AREA_MI" localSheetId="10">#REF!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11">OFFSET(Full_Print,0,0,'Print Data'!Last_Row)</definedName>
    <definedName name="Print_Area_Reset">OFFSET(Full_Print,0,0,Last_Row)</definedName>
    <definedName name="Print_Title" localSheetId="11">#REF!</definedName>
    <definedName name="Print_Title">#REF!</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 localSheetId="11">#REF!</definedName>
    <definedName name="_xlnm.Print_Titles">#REF!</definedName>
    <definedName name="PRINT_TITLES_MI" localSheetId="3">'  Coastal  Elec.Data '!$GJ$7:$IG$7608</definedName>
    <definedName name="PRINT_TITLES_MI" localSheetId="9">#REF!</definedName>
    <definedName name="PRINT_TITLES_MI" localSheetId="7">Data!$GJ$7:$IG$7593</definedName>
    <definedName name="PRINT_TITLES_MI" localSheetId="10">#REF!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9">#REF!</definedName>
    <definedName name="QQE" localSheetId="10">#REF!</definedName>
    <definedName name="QQE" localSheetId="11">#REF!</definedName>
    <definedName name="QQE">#REF!</definedName>
    <definedName name="QWE" localSheetId="9">#REF!</definedName>
    <definedName name="QWE" localSheetId="10">#REF!</definedName>
    <definedName name="QWE" localSheetId="11">#REF!</definedName>
    <definedName name="QWE">#REF!</definedName>
    <definedName name="roya">#REF!</definedName>
    <definedName name="S">#REF!</definedName>
    <definedName name="Sched_Pay">#REF!</definedName>
    <definedName name="Scheduled_Extra_Payments">#REF!</definedName>
    <definedName name="Scheduled_Interest_Rate">#REF!</definedName>
    <definedName name="Scheduled_Monthly_Payment">#REF!</definedName>
    <definedName name="sheet">#REF!</definedName>
    <definedName name="sk">#REF!</definedName>
    <definedName name="sss">#REF!</definedName>
    <definedName name="sump">#REF!</definedName>
    <definedName name="Total_Interest">#REF!</definedName>
    <definedName name="Total_Pay">#REF!</definedName>
    <definedName name="Total_Payment" localSheetId="11">Scheduled_Payment+Extra_Payment</definedName>
    <definedName name="Total_Payment">Scheduled_Payment+Extra_Payment</definedName>
    <definedName name="v_app" localSheetId="11">#REF!</definedName>
    <definedName name="v_app">#REF!</definedName>
    <definedName name="v_est" localSheetId="11">#REF!</definedName>
    <definedName name="v_est">#REF!</definedName>
    <definedName name="v_paid" localSheetId="11">#REF!</definedName>
    <definedName name="v_paid">#REF!</definedName>
    <definedName name="v_quo">#REF!</definedName>
    <definedName name="v_rec">#REF!</definedName>
    <definedName name="v_tot">#REF!</definedName>
    <definedName name="Values_Entered" localSheetId="11">IF('Print Data'!Loan_Amount*Interest_Rate*'Print Data'!Loan_Years*'Print Data'!Loan_Start&gt;0,1,0)</definedName>
    <definedName name="Values_Entered">IF(Loan_Amount*Interest_Rate*Loan_Years*Loan_Start&gt;0,1,0)</definedName>
    <definedName name="vignesh" localSheetId="11">#REF!</definedName>
    <definedName name="vignesh">#REF!</definedName>
    <definedName name="xgjhvfxfhkl" localSheetId="11">#REF!</definedName>
    <definedName name="xgjhvfxfhkl">#REF!</definedName>
  </definedNames>
  <calcPr calcId="144525"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45" i="72" l="1"/>
  <c r="C19" i="71"/>
  <c r="I434" i="72" l="1"/>
  <c r="I458" i="72"/>
  <c r="I459" i="72"/>
  <c r="I460" i="72"/>
  <c r="I423" i="72"/>
  <c r="F417" i="72"/>
  <c r="E61" i="71"/>
  <c r="C61" i="71"/>
  <c r="I474" i="72"/>
  <c r="H475" i="72" s="1"/>
  <c r="B61" i="71" s="1"/>
  <c r="I354" i="72"/>
  <c r="I353" i="72"/>
  <c r="I352" i="72"/>
  <c r="I351" i="72"/>
  <c r="I350" i="72"/>
  <c r="I349" i="72"/>
  <c r="I348" i="72"/>
  <c r="I343" i="72"/>
  <c r="I342" i="72"/>
  <c r="I341" i="72"/>
  <c r="I338" i="72"/>
  <c r="I337" i="72"/>
  <c r="I336" i="72"/>
  <c r="I335" i="72"/>
  <c r="I334" i="72"/>
  <c r="I333" i="72"/>
  <c r="I332" i="72"/>
  <c r="I331" i="72"/>
  <c r="I330" i="72"/>
  <c r="I329" i="72"/>
  <c r="I328" i="72"/>
  <c r="I327" i="72"/>
  <c r="I326" i="72"/>
  <c r="I325" i="72"/>
  <c r="I324" i="72"/>
  <c r="I323" i="72"/>
  <c r="I322" i="72"/>
  <c r="I319" i="72"/>
  <c r="I318" i="72"/>
  <c r="I317" i="72"/>
  <c r="I316" i="72"/>
  <c r="I315" i="72"/>
  <c r="I314" i="72"/>
  <c r="I313" i="72"/>
  <c r="I312" i="72"/>
  <c r="I311" i="72"/>
  <c r="I310" i="72"/>
  <c r="I309" i="72"/>
  <c r="I308" i="72"/>
  <c r="I307" i="72"/>
  <c r="I306" i="72"/>
  <c r="I305" i="72"/>
  <c r="I302" i="72"/>
  <c r="I301" i="72"/>
  <c r="I300" i="72"/>
  <c r="I299" i="72"/>
  <c r="I298" i="72"/>
  <c r="I297" i="72"/>
  <c r="I296" i="72"/>
  <c r="I295" i="72"/>
  <c r="I294" i="72"/>
  <c r="I293" i="72"/>
  <c r="I292" i="72"/>
  <c r="I291" i="72"/>
  <c r="I290" i="72"/>
  <c r="I289" i="72"/>
  <c r="I288" i="72"/>
  <c r="I287" i="72"/>
  <c r="I286" i="72"/>
  <c r="I285" i="72"/>
  <c r="I284" i="72"/>
  <c r="I283" i="72"/>
  <c r="I282" i="72"/>
  <c r="I281" i="72"/>
  <c r="I280" i="72"/>
  <c r="I279" i="72"/>
  <c r="I278" i="72"/>
  <c r="I277" i="72"/>
  <c r="I276" i="72"/>
  <c r="I275" i="72"/>
  <c r="I274" i="72"/>
  <c r="I273" i="72"/>
  <c r="I272" i="72"/>
  <c r="I271" i="72"/>
  <c r="I270" i="72"/>
  <c r="I269" i="72"/>
  <c r="I268" i="72"/>
  <c r="I267" i="72"/>
  <c r="I266" i="72"/>
  <c r="I265" i="72"/>
  <c r="I264" i="72"/>
  <c r="I263" i="72"/>
  <c r="I262" i="72"/>
  <c r="I261" i="72"/>
  <c r="I260" i="72"/>
  <c r="I259" i="72"/>
  <c r="I258" i="72"/>
  <c r="I257" i="72"/>
  <c r="I256" i="72"/>
  <c r="I255" i="72"/>
  <c r="I254" i="72"/>
  <c r="I253" i="72"/>
  <c r="I252" i="72"/>
  <c r="I251" i="72"/>
  <c r="I250" i="72"/>
  <c r="I249" i="72"/>
  <c r="I248" i="72"/>
  <c r="I247" i="72"/>
  <c r="I246" i="72"/>
  <c r="H461" i="72" l="1"/>
  <c r="H462" i="72" s="1"/>
  <c r="B56" i="71" s="1"/>
  <c r="H356" i="72"/>
  <c r="H346" i="72"/>
  <c r="H339" i="72"/>
  <c r="H320" i="72"/>
  <c r="H303" i="72"/>
  <c r="E19" i="71" l="1"/>
  <c r="A19" i="71"/>
  <c r="A20" i="71" s="1"/>
  <c r="A21" i="71" s="1"/>
  <c r="A24" i="71" s="1"/>
  <c r="A25" i="71" s="1"/>
  <c r="A26" i="71" s="1"/>
  <c r="A27" i="71" s="1"/>
  <c r="A28" i="71" s="1"/>
  <c r="A29" i="71" s="1"/>
  <c r="A32" i="71" s="1"/>
  <c r="A33" i="71" s="1"/>
  <c r="A34" i="71" s="1"/>
  <c r="A35" i="71" s="1"/>
  <c r="A37" i="71" s="1"/>
  <c r="A38" i="71" s="1"/>
  <c r="A39" i="71" s="1"/>
  <c r="A40" i="71" s="1"/>
  <c r="A41" i="71" s="1"/>
  <c r="A42" i="71" s="1"/>
  <c r="A43" i="71" s="1"/>
  <c r="A44" i="71" s="1"/>
  <c r="A45" i="71" s="1"/>
  <c r="A46" i="71" s="1"/>
  <c r="A47" i="71" s="1"/>
  <c r="A48" i="71" s="1"/>
  <c r="A49" i="71" s="1"/>
  <c r="A50" i="71" s="1"/>
  <c r="A51" i="71" s="1"/>
  <c r="A52" i="71" s="1"/>
  <c r="A53" i="71" s="1"/>
  <c r="A54" i="71" s="1"/>
  <c r="A55" i="71" s="1"/>
  <c r="A56" i="71" s="1"/>
  <c r="A57" i="71" s="1"/>
  <c r="A61" i="71" s="1"/>
  <c r="A96" i="72"/>
  <c r="A156" i="72" s="1"/>
  <c r="A160" i="72" s="1"/>
  <c r="A167" i="72" s="1"/>
  <c r="A171" i="72" s="1"/>
  <c r="A174" i="72" s="1"/>
  <c r="D24" i="71"/>
  <c r="I471" i="72"/>
  <c r="H472" i="72" s="1"/>
  <c r="B60" i="71" s="1"/>
  <c r="I468" i="72"/>
  <c r="H469" i="72" s="1"/>
  <c r="B59" i="71" s="1"/>
  <c r="I465" i="72"/>
  <c r="H466" i="72" s="1"/>
  <c r="B58" i="71" s="1"/>
  <c r="A177" i="72" l="1"/>
  <c r="A180" i="72" s="1"/>
  <c r="A183" i="72" s="1"/>
  <c r="A195" i="72" s="1"/>
  <c r="A202" i="72" s="1"/>
  <c r="A205" i="72" s="1"/>
  <c r="A209" i="72" s="1"/>
  <c r="A213" i="72" s="1"/>
  <c r="A219" i="72" s="1"/>
  <c r="A225" i="72" s="1"/>
  <c r="A230" i="72" s="1"/>
  <c r="A236" i="72" s="1"/>
  <c r="A245" i="72" s="1"/>
  <c r="A304" i="72" s="1"/>
  <c r="A321" i="72" s="1"/>
  <c r="A340" i="72" s="1"/>
  <c r="A347" i="72" s="1"/>
  <c r="A400" i="72" s="1"/>
  <c r="A403" i="72" s="1"/>
  <c r="A406" i="72" s="1"/>
  <c r="A409" i="72" s="1"/>
  <c r="A415" i="72" s="1"/>
  <c r="A437" i="72" s="1"/>
  <c r="A441" i="72" s="1"/>
  <c r="A445" i="72" s="1"/>
  <c r="A451" i="72" s="1"/>
  <c r="A457" i="72" s="1"/>
  <c r="A463" i="72" s="1"/>
  <c r="A473" i="72" s="1"/>
  <c r="F56" i="71"/>
  <c r="B50" i="71"/>
  <c r="B10" i="71"/>
  <c r="I455" i="72"/>
  <c r="I454" i="72"/>
  <c r="I453" i="72"/>
  <c r="I452" i="72"/>
  <c r="I442" i="72"/>
  <c r="H443" i="72" s="1"/>
  <c r="B53" i="71" s="1"/>
  <c r="I438" i="72"/>
  <c r="H439" i="72" s="1"/>
  <c r="B52" i="71" s="1"/>
  <c r="I448" i="72"/>
  <c r="I447" i="72"/>
  <c r="I446" i="72"/>
  <c r="I433" i="72"/>
  <c r="I417" i="72"/>
  <c r="I418" i="72"/>
  <c r="I419" i="72"/>
  <c r="I420" i="72"/>
  <c r="I421" i="72"/>
  <c r="I422" i="72"/>
  <c r="I424" i="72"/>
  <c r="I425" i="72"/>
  <c r="I426" i="72"/>
  <c r="I427" i="72"/>
  <c r="I428" i="72"/>
  <c r="I429" i="72"/>
  <c r="I430" i="72"/>
  <c r="I431" i="72"/>
  <c r="I432" i="72"/>
  <c r="I416" i="72"/>
  <c r="I105" i="72"/>
  <c r="F104" i="72"/>
  <c r="I104" i="72" s="1"/>
  <c r="H435" i="72" l="1"/>
  <c r="H456" i="72"/>
  <c r="B55" i="71" s="1"/>
  <c r="H449" i="72"/>
  <c r="P13" i="4"/>
  <c r="I410" i="72"/>
  <c r="H412" i="72" s="1"/>
  <c r="I407" i="72"/>
  <c r="H408" i="72" s="1"/>
  <c r="B49" i="71" s="1"/>
  <c r="F49" i="71" s="1"/>
  <c r="I404" i="72"/>
  <c r="H405" i="72" s="1"/>
  <c r="B48" i="71" s="1"/>
  <c r="F48" i="71" s="1"/>
  <c r="I401" i="72"/>
  <c r="H402" i="72" s="1"/>
  <c r="B47" i="71" s="1"/>
  <c r="F47" i="71" s="1"/>
  <c r="H398" i="72"/>
  <c r="I377" i="72"/>
  <c r="H379" i="72" s="1"/>
  <c r="I373" i="72"/>
  <c r="I374" i="72" s="1"/>
  <c r="B372" i="72"/>
  <c r="I365" i="72"/>
  <c r="H367" i="72" s="1"/>
  <c r="I361" i="72"/>
  <c r="H363" i="72" s="1"/>
  <c r="B360" i="72"/>
  <c r="I358" i="72"/>
  <c r="H359" i="72" s="1"/>
  <c r="B357" i="72"/>
  <c r="B347" i="72"/>
  <c r="K345" i="72"/>
  <c r="B340" i="72"/>
  <c r="K302" i="72"/>
  <c r="L299" i="72"/>
  <c r="K299" i="72"/>
  <c r="L297" i="72"/>
  <c r="I243" i="72"/>
  <c r="I239" i="72"/>
  <c r="I238" i="72"/>
  <c r="I237" i="72"/>
  <c r="I233" i="72"/>
  <c r="I232" i="72"/>
  <c r="I231" i="72"/>
  <c r="I228" i="72"/>
  <c r="I227" i="72"/>
  <c r="I226" i="72"/>
  <c r="I223" i="72"/>
  <c r="I222" i="72"/>
  <c r="I221" i="72"/>
  <c r="I220" i="72"/>
  <c r="I217" i="72"/>
  <c r="I216" i="72"/>
  <c r="I215" i="72"/>
  <c r="I214" i="72"/>
  <c r="I211" i="72"/>
  <c r="H212" i="72" s="1"/>
  <c r="B36" i="71" s="1"/>
  <c r="F36" i="71" s="1"/>
  <c r="I207" i="72"/>
  <c r="I206" i="72"/>
  <c r="I203" i="72"/>
  <c r="H204" i="72" s="1"/>
  <c r="B33" i="71" s="1"/>
  <c r="I200" i="72"/>
  <c r="I199" i="72"/>
  <c r="I198" i="72"/>
  <c r="I197" i="72"/>
  <c r="I196" i="72"/>
  <c r="I193" i="72"/>
  <c r="I192" i="72"/>
  <c r="I191" i="72"/>
  <c r="I190" i="72"/>
  <c r="I187" i="72"/>
  <c r="I186" i="72"/>
  <c r="I185" i="72"/>
  <c r="I181" i="72"/>
  <c r="H182" i="72" s="1"/>
  <c r="B28" i="71" s="1"/>
  <c r="I178" i="72"/>
  <c r="H179" i="72" s="1"/>
  <c r="B27" i="71" s="1"/>
  <c r="I175" i="72"/>
  <c r="H176" i="72" s="1"/>
  <c r="B26" i="71" s="1"/>
  <c r="I172" i="72"/>
  <c r="H173" i="72" s="1"/>
  <c r="B25" i="71" s="1"/>
  <c r="I168" i="72"/>
  <c r="H170" i="72" s="1"/>
  <c r="B24" i="71" s="1"/>
  <c r="I165" i="72"/>
  <c r="H166" i="72" s="1"/>
  <c r="B23" i="71" s="1"/>
  <c r="I162" i="72"/>
  <c r="H163" i="72" s="1"/>
  <c r="B22" i="71" s="1"/>
  <c r="I157" i="72"/>
  <c r="H159" i="72" s="1"/>
  <c r="B20" i="71" s="1"/>
  <c r="I154" i="72"/>
  <c r="I153" i="72"/>
  <c r="I152" i="72"/>
  <c r="I151" i="72"/>
  <c r="I150" i="72"/>
  <c r="I149" i="72"/>
  <c r="I148" i="72"/>
  <c r="B147" i="72"/>
  <c r="I145" i="72"/>
  <c r="I144" i="72"/>
  <c r="I143" i="72"/>
  <c r="I142" i="72"/>
  <c r="I141" i="72"/>
  <c r="I140" i="72"/>
  <c r="I139" i="72"/>
  <c r="B138" i="72"/>
  <c r="I136" i="72"/>
  <c r="I135" i="72"/>
  <c r="I134" i="72"/>
  <c r="B133" i="72"/>
  <c r="I131" i="72"/>
  <c r="I130" i="72"/>
  <c r="I129" i="72"/>
  <c r="B128" i="72"/>
  <c r="I126" i="72"/>
  <c r="I125" i="72"/>
  <c r="I124" i="72"/>
  <c r="I123" i="72"/>
  <c r="I122" i="72"/>
  <c r="I121" i="72"/>
  <c r="I120" i="72"/>
  <c r="I119" i="72"/>
  <c r="B118" i="72"/>
  <c r="F114" i="72"/>
  <c r="I114" i="72" s="1"/>
  <c r="I116" i="72" s="1"/>
  <c r="I110" i="72"/>
  <c r="B109" i="72"/>
  <c r="B108" i="72"/>
  <c r="I45" i="72"/>
  <c r="I44" i="72"/>
  <c r="I103" i="72"/>
  <c r="I102" i="72"/>
  <c r="I101" i="72"/>
  <c r="I100" i="72"/>
  <c r="I99" i="72"/>
  <c r="I98" i="72"/>
  <c r="I97" i="72"/>
  <c r="I94" i="72"/>
  <c r="I93" i="72"/>
  <c r="I92" i="72"/>
  <c r="I91" i="72"/>
  <c r="I90" i="72"/>
  <c r="I89" i="72"/>
  <c r="I88" i="72"/>
  <c r="I85" i="72"/>
  <c r="J83" i="72"/>
  <c r="I82" i="72"/>
  <c r="B81" i="72"/>
  <c r="I78" i="72"/>
  <c r="B77" i="72"/>
  <c r="I75" i="72"/>
  <c r="B74" i="72"/>
  <c r="I72" i="72"/>
  <c r="B71" i="72"/>
  <c r="I69" i="72"/>
  <c r="B68" i="72"/>
  <c r="B67" i="72"/>
  <c r="I64" i="72"/>
  <c r="B63" i="72"/>
  <c r="I60" i="72"/>
  <c r="I59" i="72"/>
  <c r="B58" i="72"/>
  <c r="I55" i="72"/>
  <c r="I54" i="72"/>
  <c r="I53" i="72"/>
  <c r="I52" i="72"/>
  <c r="B51" i="72"/>
  <c r="K48" i="72"/>
  <c r="I48" i="72"/>
  <c r="H50" i="72" s="1"/>
  <c r="B17" i="71" s="1"/>
  <c r="K43" i="72"/>
  <c r="I43" i="72"/>
  <c r="K39" i="72"/>
  <c r="I39" i="72"/>
  <c r="H41" i="72" s="1"/>
  <c r="B15" i="71" s="1"/>
  <c r="K35" i="72"/>
  <c r="I35" i="72"/>
  <c r="H37" i="72" s="1"/>
  <c r="B14" i="71" s="1"/>
  <c r="K30" i="72"/>
  <c r="I30" i="72"/>
  <c r="H32" i="72" s="1"/>
  <c r="B12" i="71" s="1"/>
  <c r="K26" i="72"/>
  <c r="I26" i="72"/>
  <c r="H28" i="72" s="1"/>
  <c r="I22" i="72"/>
  <c r="I23" i="72" s="1"/>
  <c r="K18" i="72"/>
  <c r="I18" i="72"/>
  <c r="H20" i="72" s="1"/>
  <c r="B9" i="71" s="1"/>
  <c r="I14" i="72"/>
  <c r="H15" i="72" s="1"/>
  <c r="B7" i="71" s="1"/>
  <c r="I10" i="72"/>
  <c r="H12" i="72" s="1"/>
  <c r="F50" i="71"/>
  <c r="B11" i="71"/>
  <c r="I730" i="11"/>
  <c r="C601" i="1"/>
  <c r="Y44" i="1"/>
  <c r="Y37" i="1"/>
  <c r="Y36" i="1"/>
  <c r="H107" i="72" l="1"/>
  <c r="B19" i="71" s="1"/>
  <c r="H95" i="72"/>
  <c r="B45" i="71"/>
  <c r="B46" i="71"/>
  <c r="B54" i="71"/>
  <c r="B51" i="71"/>
  <c r="H208" i="72"/>
  <c r="B34" i="71" s="1"/>
  <c r="H46" i="72"/>
  <c r="B16" i="71" s="1"/>
  <c r="B42" i="71"/>
  <c r="H127" i="72"/>
  <c r="H218" i="72"/>
  <c r="B37" i="71" s="1"/>
  <c r="I194" i="72"/>
  <c r="B31" i="71" s="1"/>
  <c r="H229" i="72"/>
  <c r="B39" i="71" s="1"/>
  <c r="I201" i="72"/>
  <c r="B32" i="71" s="1"/>
  <c r="H241" i="72"/>
  <c r="B41" i="71" s="1"/>
  <c r="H224" i="72"/>
  <c r="B38" i="71" s="1"/>
  <c r="H137" i="72"/>
  <c r="H155" i="72"/>
  <c r="I188" i="72"/>
  <c r="B30" i="71" s="1"/>
  <c r="H235" i="72"/>
  <c r="B40" i="71" s="1"/>
  <c r="B43" i="71"/>
  <c r="B44" i="71"/>
  <c r="F24" i="71"/>
  <c r="H132" i="72"/>
  <c r="H146" i="72"/>
  <c r="B18" i="71" l="1"/>
  <c r="W23" i="1"/>
  <c r="W17" i="1"/>
  <c r="W46" i="1" s="1"/>
  <c r="W47" i="1" s="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9" i="1"/>
  <c r="F3439" i="1"/>
  <c r="F3440" i="1"/>
  <c r="F3441" i="1"/>
  <c r="F3442" i="1"/>
  <c r="F3443" i="1" l="1"/>
  <c r="K3439"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7" i="1"/>
  <c r="P1890" i="1"/>
  <c r="P1889" i="1"/>
  <c r="F67" i="65" l="1"/>
  <c r="F68" i="65" s="1"/>
  <c r="F69" i="65" s="1"/>
  <c r="F72" i="65" s="1"/>
  <c r="D13" i="65"/>
  <c r="D14" i="65" s="1"/>
  <c r="D15" i="65" s="1"/>
  <c r="D16" i="65" s="1"/>
  <c r="I1071" i="11"/>
  <c r="L1057" i="11"/>
  <c r="K1054" i="11"/>
  <c r="L1035" i="11"/>
  <c r="K1031" i="11"/>
  <c r="L993" i="11"/>
  <c r="P433" i="1"/>
  <c r="R3521" i="1"/>
  <c r="I3508" i="1" s="1"/>
  <c r="AH66" i="1"/>
  <c r="AH67" i="1"/>
  <c r="AH68" i="1"/>
  <c r="AH69" i="1"/>
  <c r="AH70" i="1"/>
  <c r="AH71" i="1"/>
  <c r="AH72" i="1"/>
  <c r="AH73" i="1"/>
  <c r="AH74" i="1"/>
  <c r="AG66" i="1"/>
  <c r="AG67" i="1"/>
  <c r="AG68" i="1"/>
  <c r="AG69" i="1"/>
  <c r="AG70" i="1"/>
  <c r="AG71" i="1"/>
  <c r="AG72" i="1"/>
  <c r="AG73" i="1"/>
  <c r="AG74" i="1"/>
  <c r="AG75" i="1"/>
  <c r="AG76" i="1"/>
  <c r="AG77" i="1"/>
  <c r="I3389" i="1"/>
  <c r="H992" i="1"/>
  <c r="H1022" i="1" s="1"/>
  <c r="H1057" i="1" s="1"/>
  <c r="H993" i="1"/>
  <c r="H1023" i="1" s="1"/>
  <c r="H994" i="1"/>
  <c r="H1024" i="1" s="1"/>
  <c r="H995" i="1"/>
  <c r="H1025" i="1" s="1"/>
  <c r="H996" i="1"/>
  <c r="H1026" i="1" s="1"/>
  <c r="H991" i="1"/>
  <c r="H1021" i="1" s="1"/>
  <c r="L669" i="11"/>
  <c r="I3759" i="1"/>
  <c r="L1119" i="11"/>
  <c r="L1096" i="11"/>
  <c r="E15" i="4"/>
  <c r="E14" i="4"/>
  <c r="N12" i="4"/>
  <c r="K12" i="4"/>
  <c r="K11" i="4"/>
  <c r="H11" i="4"/>
  <c r="K3736" i="1" l="1"/>
  <c r="AB1262" i="1"/>
  <c r="S65" i="11" l="1"/>
  <c r="S66" i="11" s="1"/>
  <c r="M3023" i="27"/>
  <c r="H3020" i="27"/>
  <c r="L3011" i="27"/>
  <c r="G7" i="32" l="1"/>
  <c r="K978" i="11" l="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3" i="1"/>
  <c r="R2113" i="1" s="1"/>
  <c r="AD3627" i="1"/>
  <c r="AB3626" i="1"/>
  <c r="AD3626" i="1" s="1"/>
  <c r="AC3617" i="1"/>
  <c r="Y3618" i="1" s="1"/>
  <c r="Y3619" i="1" s="1"/>
  <c r="I852" i="11"/>
  <c r="X46" i="1"/>
  <c r="X47" i="1" s="1"/>
  <c r="X45" i="1"/>
  <c r="X43" i="1"/>
  <c r="X41" i="1"/>
  <c r="X39" i="1"/>
  <c r="X38" i="1"/>
  <c r="X32" i="1"/>
  <c r="X33" i="1" s="1"/>
  <c r="X31" i="1"/>
  <c r="X25" i="1"/>
  <c r="X26" i="1" s="1"/>
  <c r="X27" i="1" s="1"/>
  <c r="X28" i="1" s="1"/>
  <c r="X23" i="1"/>
  <c r="X21" i="1"/>
  <c r="X18" i="1"/>
  <c r="X29" i="1" s="1"/>
  <c r="X34" i="1" s="1"/>
  <c r="X16" i="1"/>
  <c r="X17"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I1127" i="11"/>
  <c r="L1120" i="11"/>
  <c r="I1112" i="11"/>
  <c r="K1112" i="11" s="1"/>
  <c r="K1111"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I981" i="11"/>
  <c r="K981" i="11" s="1"/>
  <c r="K1015" i="11" s="1"/>
  <c r="K1027" i="11" s="1"/>
  <c r="I979" i="11"/>
  <c r="K979" i="11" s="1"/>
  <c r="K1028" i="11"/>
  <c r="I976" i="11"/>
  <c r="K976" i="11" s="1"/>
  <c r="I975" i="11"/>
  <c r="K975" i="11" s="1"/>
  <c r="I974" i="11"/>
  <c r="K974" i="11" s="1"/>
  <c r="I973" i="11"/>
  <c r="K973" i="11" s="1"/>
  <c r="K956" i="11"/>
  <c r="K955" i="11"/>
  <c r="K947" i="11"/>
  <c r="K946" i="11"/>
  <c r="K940" i="11"/>
  <c r="K939" i="11"/>
  <c r="K935" i="11"/>
  <c r="K934" i="11"/>
  <c r="K928" i="11"/>
  <c r="H928" i="11"/>
  <c r="I927" i="11"/>
  <c r="K926" i="11"/>
  <c r="K909" i="11"/>
  <c r="K908" i="11"/>
  <c r="I894" i="11"/>
  <c r="K894" i="11" s="1"/>
  <c r="K891" i="11"/>
  <c r="K890" i="11"/>
  <c r="K889" i="11"/>
  <c r="H888" i="11"/>
  <c r="H3718" i="27" s="1"/>
  <c r="K887" i="11"/>
  <c r="K879" i="11"/>
  <c r="K877" i="11"/>
  <c r="K868" i="11"/>
  <c r="R866" i="11"/>
  <c r="R865" i="11"/>
  <c r="R864" i="11"/>
  <c r="R863" i="11"/>
  <c r="I863" i="11"/>
  <c r="K863" i="11" s="1"/>
  <c r="R862" i="11"/>
  <c r="M858" i="11"/>
  <c r="L858" i="11"/>
  <c r="I854" i="11"/>
  <c r="K854" i="11" s="1"/>
  <c r="K852" i="1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K730" i="1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P672" i="11" s="1"/>
  <c r="R672" i="11" s="1"/>
  <c r="S670" i="11"/>
  <c r="I666" i="11"/>
  <c r="P666" i="11" s="1"/>
  <c r="R666" i="11" s="1"/>
  <c r="I665" i="11"/>
  <c r="I703" i="11" s="1"/>
  <c r="K703" i="11" s="1"/>
  <c r="P664" i="11"/>
  <c r="R664" i="11" s="1"/>
  <c r="K664" i="11"/>
  <c r="I647" i="11"/>
  <c r="K647" i="11" s="1"/>
  <c r="I645" i="11"/>
  <c r="K645" i="11" s="1"/>
  <c r="K636" i="11"/>
  <c r="I634" i="11"/>
  <c r="I633" i="11"/>
  <c r="K624" i="11"/>
  <c r="I623" i="11"/>
  <c r="K623" i="11" s="1"/>
  <c r="K607" i="11"/>
  <c r="K605" i="11"/>
  <c r="L587" i="11"/>
  <c r="M587" i="11" s="1"/>
  <c r="N587" i="11" s="1"/>
  <c r="O587" i="11" s="1"/>
  <c r="O584" i="11"/>
  <c r="N584" i="11"/>
  <c r="M584" i="11"/>
  <c r="L584" i="11"/>
  <c r="I584" i="11"/>
  <c r="K584" i="11" s="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I427" i="11"/>
  <c r="K427" i="11" s="1"/>
  <c r="K426" i="11"/>
  <c r="I418" i="11"/>
  <c r="I436" i="11" s="1"/>
  <c r="I449" i="11" s="1"/>
  <c r="I467" i="11" s="1"/>
  <c r="I417" i="11"/>
  <c r="I435" i="11" s="1"/>
  <c r="I416" i="11"/>
  <c r="I434" i="11" s="1"/>
  <c r="L413" i="11"/>
  <c r="R410" i="11"/>
  <c r="K410" i="11"/>
  <c r="K409" i="11"/>
  <c r="R408" i="11"/>
  <c r="I400" i="11"/>
  <c r="K399" i="11"/>
  <c r="N391" i="11"/>
  <c r="I391" i="11" s="1"/>
  <c r="J391" i="11"/>
  <c r="K386" i="11"/>
  <c r="I376" i="11"/>
  <c r="K375" i="11"/>
  <c r="K361" i="11"/>
  <c r="K360" i="11"/>
  <c r="K349" i="11"/>
  <c r="I339" i="11"/>
  <c r="I350" i="11" s="1"/>
  <c r="K350" i="11" s="1"/>
  <c r="K338" i="11"/>
  <c r="I327" i="11"/>
  <c r="I367" i="11" s="1"/>
  <c r="K367" i="11" s="1"/>
  <c r="M323" i="11"/>
  <c r="K320" i="11"/>
  <c r="K319" i="11"/>
  <c r="I309" i="11"/>
  <c r="I328" i="11" s="1"/>
  <c r="I368" i="11" s="1"/>
  <c r="K368" i="11" s="1"/>
  <c r="K369" i="11" s="1"/>
  <c r="K370" i="11" s="1"/>
  <c r="I308" i="11"/>
  <c r="K308" i="11" s="1"/>
  <c r="S302" i="11"/>
  <c r="K302" i="11"/>
  <c r="K301" i="11"/>
  <c r="L302" i="11" s="1"/>
  <c r="R295" i="11"/>
  <c r="L291" i="11"/>
  <c r="L288" i="11"/>
  <c r="P284" i="11"/>
  <c r="P282" i="11"/>
  <c r="R282" i="11" s="1"/>
  <c r="K282" i="11"/>
  <c r="R281" i="11"/>
  <c r="I281" i="11"/>
  <c r="I663" i="11" s="1"/>
  <c r="I701"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K869" i="11" s="1"/>
  <c r="K871" i="11" s="1"/>
  <c r="I168" i="11"/>
  <c r="K168" i="11" s="1"/>
  <c r="I166" i="11"/>
  <c r="K166" i="11" s="1"/>
  <c r="I165" i="11"/>
  <c r="K165" i="11" s="1"/>
  <c r="I164" i="11"/>
  <c r="K164" i="11" s="1"/>
  <c r="K153" i="11"/>
  <c r="H143" i="11"/>
  <c r="L133" i="11"/>
  <c r="L126" i="11"/>
  <c r="M126" i="11" s="1"/>
  <c r="N126" i="11" s="1"/>
  <c r="I126" i="11"/>
  <c r="I1088" i="11" s="1"/>
  <c r="K1088" i="11" s="1"/>
  <c r="I125" i="11"/>
  <c r="I155" i="11" s="1"/>
  <c r="L113" i="11"/>
  <c r="M104" i="11"/>
  <c r="I104" i="11"/>
  <c r="I222" i="11" s="1"/>
  <c r="I100" i="11"/>
  <c r="I218" i="1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K1016"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K20" i="11"/>
  <c r="K49" i="11" s="1"/>
  <c r="K60" i="11" s="1"/>
  <c r="I19" i="11"/>
  <c r="I980" i="11" s="1"/>
  <c r="K980" i="11" s="1"/>
  <c r="P18" i="11"/>
  <c r="R18" i="11" s="1"/>
  <c r="K18" i="11"/>
  <c r="R17" i="11"/>
  <c r="P16" i="11"/>
  <c r="P49" i="11" s="1"/>
  <c r="R49" i="11" s="1"/>
  <c r="K16" i="1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G51" i="1"/>
  <c r="AG52" i="1"/>
  <c r="AG53" i="1"/>
  <c r="AG54" i="1"/>
  <c r="AG55" i="1"/>
  <c r="AG56" i="1"/>
  <c r="AG57" i="1"/>
  <c r="AG58" i="1"/>
  <c r="AG59" i="1"/>
  <c r="AG60" i="1"/>
  <c r="AG61" i="1"/>
  <c r="AG62" i="1"/>
  <c r="AG63" i="1"/>
  <c r="AG64" i="1"/>
  <c r="AG65" i="1"/>
  <c r="AG9" i="1"/>
  <c r="D417" i="64"/>
  <c r="D542" i="64" s="1"/>
  <c r="C417" i="64"/>
  <c r="C416" i="64"/>
  <c r="C413" i="64"/>
  <c r="D413" i="64"/>
  <c r="F413" i="64" s="1"/>
  <c r="D412" i="64"/>
  <c r="D537" i="64" s="1"/>
  <c r="D411" i="64"/>
  <c r="D536" i="64" s="1"/>
  <c r="C410" i="64"/>
  <c r="C535" i="64" s="1"/>
  <c r="D532" i="64"/>
  <c r="D407" i="64"/>
  <c r="F407" i="64" s="1"/>
  <c r="D528" i="64"/>
  <c r="D590" i="64" s="1"/>
  <c r="F590" i="64" s="1"/>
  <c r="D506" i="64"/>
  <c r="C148" i="64"/>
  <c r="C291" i="64"/>
  <c r="C414" i="64" s="1"/>
  <c r="D178" i="64"/>
  <c r="D256" i="64" s="1"/>
  <c r="D265" i="64" s="1"/>
  <c r="F265" i="64" s="1"/>
  <c r="D64" i="64"/>
  <c r="AP36" i="64" s="1"/>
  <c r="AR36" i="64" s="1"/>
  <c r="E10" i="50"/>
  <c r="G71" i="50"/>
  <c r="G7" i="50"/>
  <c r="A9" i="50" s="1"/>
  <c r="F15" i="50"/>
  <c r="F11" i="50"/>
  <c r="L4076" i="1"/>
  <c r="I4069" i="1"/>
  <c r="K4069" i="1" s="1"/>
  <c r="I4067" i="1"/>
  <c r="J4060" i="1"/>
  <c r="J4061" i="1" s="1"/>
  <c r="F4067" i="1" s="1"/>
  <c r="K4058" i="1"/>
  <c r="J4058" i="1"/>
  <c r="F4066" i="1" s="1"/>
  <c r="J4055" i="1"/>
  <c r="F4065" i="1" s="1"/>
  <c r="J4050" i="1"/>
  <c r="J4049" i="1"/>
  <c r="I4026" i="1"/>
  <c r="K4026" i="1" s="1"/>
  <c r="K4011" i="1"/>
  <c r="I4009" i="1"/>
  <c r="I4024" i="1" s="1"/>
  <c r="K3993" i="1"/>
  <c r="I3964" i="1"/>
  <c r="I3981" i="1" s="1"/>
  <c r="I3962" i="1"/>
  <c r="K3962" i="1" s="1"/>
  <c r="H3962" i="1"/>
  <c r="H3958" i="1"/>
  <c r="K3948" i="1"/>
  <c r="K3946" i="1"/>
  <c r="I3943" i="1"/>
  <c r="I3959" i="1" s="1"/>
  <c r="I3976" i="1" s="1"/>
  <c r="K3976" i="1" s="1"/>
  <c r="I3942" i="1"/>
  <c r="K3942" i="1" s="1"/>
  <c r="I3941" i="1"/>
  <c r="I3957" i="1" s="1"/>
  <c r="K3957" i="1" s="1"/>
  <c r="I3940" i="1"/>
  <c r="I3956" i="1" s="1"/>
  <c r="K3928" i="1"/>
  <c r="K3925" i="1"/>
  <c r="K3924" i="1"/>
  <c r="K3923" i="1"/>
  <c r="K3922" i="1"/>
  <c r="E3897" i="1"/>
  <c r="G3897" i="1" s="1"/>
  <c r="G3896" i="1"/>
  <c r="H3885" i="1"/>
  <c r="H3866" i="1"/>
  <c r="H3865" i="1"/>
  <c r="H3864" i="1"/>
  <c r="H3863" i="1"/>
  <c r="I3861" i="1"/>
  <c r="H3855" i="1"/>
  <c r="H3876" i="1" s="1"/>
  <c r="H3892" i="1" s="1"/>
  <c r="J3892" i="1" s="1"/>
  <c r="H3845" i="1"/>
  <c r="H3844" i="1"/>
  <c r="H3843" i="1"/>
  <c r="H3842" i="1"/>
  <c r="I3840" i="1"/>
  <c r="K3821" i="1"/>
  <c r="K3805" i="1"/>
  <c r="K3789" i="1"/>
  <c r="K3788" i="1"/>
  <c r="K3787" i="1"/>
  <c r="K3786" i="1"/>
  <c r="K3785" i="1"/>
  <c r="K3784" i="1"/>
  <c r="K3783" i="1"/>
  <c r="K3782" i="1"/>
  <c r="K3781" i="1"/>
  <c r="K3766" i="1"/>
  <c r="K3765" i="1"/>
  <c r="K3763" i="1"/>
  <c r="K3764" i="1" s="1"/>
  <c r="I3761" i="1"/>
  <c r="K3761" i="1" s="1"/>
  <c r="K3762" i="1" s="1"/>
  <c r="K3734" i="1"/>
  <c r="V3720" i="1"/>
  <c r="X3720" i="1" s="1"/>
  <c r="V3719" i="1"/>
  <c r="X3719" i="1" s="1"/>
  <c r="V3718" i="1"/>
  <c r="X3718" i="1" s="1"/>
  <c r="R3718" i="1"/>
  <c r="V3717" i="1"/>
  <c r="X3717" i="1" s="1"/>
  <c r="J3717" i="1"/>
  <c r="V3716" i="1"/>
  <c r="R3716" i="1"/>
  <c r="K3716" i="1"/>
  <c r="J3716" i="1"/>
  <c r="R3715" i="1"/>
  <c r="K3715" i="1"/>
  <c r="J3715" i="1"/>
  <c r="R3714" i="1"/>
  <c r="K3714" i="1"/>
  <c r="J3714" i="1"/>
  <c r="R3713" i="1"/>
  <c r="K3713" i="1"/>
  <c r="J3713" i="1"/>
  <c r="N3709" i="1"/>
  <c r="X3706" i="1"/>
  <c r="X3705" i="1"/>
  <c r="X3704" i="1"/>
  <c r="X3703" i="1"/>
  <c r="K3703" i="1"/>
  <c r="V3694" i="1"/>
  <c r="X3694" i="1" s="1"/>
  <c r="V3693" i="1"/>
  <c r="X3693" i="1" s="1"/>
  <c r="H3693" i="1"/>
  <c r="V3692" i="1"/>
  <c r="X3692" i="1" s="1"/>
  <c r="I3692" i="1"/>
  <c r="H3692" i="1"/>
  <c r="F3692" i="1"/>
  <c r="V3691" i="1"/>
  <c r="X3691" i="1" s="1"/>
  <c r="I3691" i="1"/>
  <c r="H3691" i="1"/>
  <c r="F3691" i="1"/>
  <c r="V3690" i="1"/>
  <c r="X3690" i="1" s="1"/>
  <c r="V3688" i="1"/>
  <c r="X3688" i="1" s="1"/>
  <c r="H3688" i="1"/>
  <c r="V3687" i="1"/>
  <c r="X3687" i="1" s="1"/>
  <c r="H3687" i="1"/>
  <c r="V3686" i="1"/>
  <c r="X3686" i="1" s="1"/>
  <c r="H3686" i="1"/>
  <c r="V3685" i="1"/>
  <c r="X3685" i="1" s="1"/>
  <c r="H3685" i="1"/>
  <c r="F3685" i="1"/>
  <c r="K3685" i="1" s="1"/>
  <c r="V3684" i="1"/>
  <c r="X3684" i="1" s="1"/>
  <c r="F3683" i="1"/>
  <c r="K3683" i="1" s="1"/>
  <c r="H3682" i="1"/>
  <c r="H3681" i="1"/>
  <c r="F3681" i="1"/>
  <c r="K3671" i="1"/>
  <c r="K3670" i="1"/>
  <c r="AE3667" i="1"/>
  <c r="X3664" i="1"/>
  <c r="K3664" i="1"/>
  <c r="X3663" i="1"/>
  <c r="X3662" i="1"/>
  <c r="K3662" i="1"/>
  <c r="X3661" i="1"/>
  <c r="X3660" i="1"/>
  <c r="AE3659" i="1"/>
  <c r="AG3659" i="1" s="1"/>
  <c r="AG3658" i="1"/>
  <c r="X3658" i="1"/>
  <c r="AG3657" i="1"/>
  <c r="X3657" i="1"/>
  <c r="AG3656" i="1"/>
  <c r="X3656" i="1"/>
  <c r="AE3655" i="1"/>
  <c r="AG3655" i="1" s="1"/>
  <c r="X3655" i="1"/>
  <c r="AE3654" i="1"/>
  <c r="AG3654" i="1" s="1"/>
  <c r="AE3653" i="1"/>
  <c r="AG3653" i="1" s="1"/>
  <c r="V3653" i="1"/>
  <c r="AE3652" i="1" s="1"/>
  <c r="AG3652" i="1" s="1"/>
  <c r="X3644" i="1"/>
  <c r="X3643" i="1"/>
  <c r="X3642" i="1"/>
  <c r="X3641" i="1"/>
  <c r="X3640" i="1"/>
  <c r="X3639" i="1"/>
  <c r="I3639" i="1"/>
  <c r="K3639" i="1" s="1"/>
  <c r="X3638" i="1"/>
  <c r="I3628" i="1"/>
  <c r="K3628" i="1" s="1"/>
  <c r="I3627" i="1"/>
  <c r="K3627" i="1" s="1"/>
  <c r="K3626" i="1"/>
  <c r="H3624" i="1"/>
  <c r="J3617" i="1"/>
  <c r="W3616" i="1"/>
  <c r="S3617" i="1" s="1"/>
  <c r="S3618" i="1" s="1"/>
  <c r="X3611" i="1"/>
  <c r="K3607" i="1"/>
  <c r="K3606" i="1"/>
  <c r="K3605" i="1"/>
  <c r="I3604" i="1"/>
  <c r="K3604" i="1" s="1"/>
  <c r="K3603" i="1"/>
  <c r="I3602" i="1"/>
  <c r="I3624" i="1" s="1"/>
  <c r="K3624" i="1" s="1"/>
  <c r="V3601" i="1"/>
  <c r="S3602" i="1" s="1"/>
  <c r="S3603" i="1" s="1"/>
  <c r="Y3596" i="1"/>
  <c r="X3594" i="1"/>
  <c r="V3584" i="1"/>
  <c r="S3585" i="1" s="1"/>
  <c r="S3586" i="1" s="1"/>
  <c r="I3574" i="1"/>
  <c r="I3584" i="1" s="1"/>
  <c r="K3584" i="1" s="1"/>
  <c r="I3573" i="1"/>
  <c r="I3583" i="1" s="1"/>
  <c r="K3583" i="1" s="1"/>
  <c r="V3569" i="1"/>
  <c r="S3571" i="1" s="1"/>
  <c r="R3565" i="1"/>
  <c r="K3562" i="1"/>
  <c r="R3560" i="1"/>
  <c r="I3560" i="1"/>
  <c r="K3557" i="1"/>
  <c r="AE3553" i="1"/>
  <c r="AB3554" i="1" s="1"/>
  <c r="V3553" i="1"/>
  <c r="S3554" i="1" s="1"/>
  <c r="M3550" i="1"/>
  <c r="M3549" i="1"/>
  <c r="M3548" i="1"/>
  <c r="M3547" i="1"/>
  <c r="M3546" i="1"/>
  <c r="M3545" i="1"/>
  <c r="M3544" i="1"/>
  <c r="P3541" i="1"/>
  <c r="M3543" i="1" s="1"/>
  <c r="AE3538" i="1"/>
  <c r="AE3554" i="1" s="1"/>
  <c r="I3538" i="1"/>
  <c r="AE3537" i="1"/>
  <c r="V3537" i="1"/>
  <c r="S3538" i="1" s="1"/>
  <c r="I3537" i="1"/>
  <c r="F3538" i="1" s="1"/>
  <c r="I3529" i="1"/>
  <c r="I3545" i="1" s="1"/>
  <c r="P3549" i="1" s="1"/>
  <c r="R3549" i="1" s="1"/>
  <c r="I3527" i="1"/>
  <c r="P3531" i="1" s="1"/>
  <c r="R3531" i="1" s="1"/>
  <c r="P3526" i="1"/>
  <c r="I3526" i="1"/>
  <c r="P3525" i="1"/>
  <c r="M3526" i="1" s="1"/>
  <c r="M3527" i="1" s="1"/>
  <c r="I3521" i="1"/>
  <c r="F3522" i="1" s="1"/>
  <c r="F3523" i="1" s="1"/>
  <c r="V3517" i="1"/>
  <c r="S3519" i="1" s="1"/>
  <c r="K3508" i="1"/>
  <c r="M3507" i="1"/>
  <c r="I3489" i="1"/>
  <c r="K3489" i="1" s="1"/>
  <c r="I3488" i="1"/>
  <c r="K3488" i="1" s="1"/>
  <c r="I3487" i="1"/>
  <c r="K3487" i="1" s="1"/>
  <c r="I3486" i="1"/>
  <c r="K3486" i="1" s="1"/>
  <c r="I3485" i="1"/>
  <c r="K3485" i="1" s="1"/>
  <c r="I3484" i="1"/>
  <c r="K3484" i="1" s="1"/>
  <c r="K3481" i="1"/>
  <c r="J3479" i="1"/>
  <c r="J3478" i="1"/>
  <c r="J3477" i="1"/>
  <c r="I3466" i="1"/>
  <c r="P3462" i="1"/>
  <c r="R3462" i="1" s="1"/>
  <c r="I3462" i="1"/>
  <c r="I3806" i="1" s="1"/>
  <c r="K3806" i="1" s="1"/>
  <c r="P3460" i="1"/>
  <c r="R3460" i="1" s="1"/>
  <c r="K3454" i="1"/>
  <c r="P3440" i="1"/>
  <c r="R3440" i="1" s="1"/>
  <c r="P3439" i="1"/>
  <c r="R3439" i="1" s="1"/>
  <c r="R3438" i="1"/>
  <c r="K3427" i="1"/>
  <c r="K3426" i="1"/>
  <c r="K3425" i="1"/>
  <c r="K3424" i="1"/>
  <c r="I3422" i="1"/>
  <c r="I3416" i="1"/>
  <c r="I3415" i="1"/>
  <c r="I3417" i="1" s="1"/>
  <c r="F3422" i="1" s="1"/>
  <c r="K3422" i="1" s="1"/>
  <c r="I3411" i="1"/>
  <c r="I3410" i="1"/>
  <c r="I3409" i="1"/>
  <c r="F3420" i="1" s="1"/>
  <c r="I3408" i="1"/>
  <c r="F3423" i="1" s="1"/>
  <c r="I3366" i="1"/>
  <c r="K3340" i="1"/>
  <c r="P3327" i="1"/>
  <c r="R3327" i="1" s="1"/>
  <c r="P3326" i="1"/>
  <c r="R3326" i="1" s="1"/>
  <c r="K3320" i="1"/>
  <c r="I3310" i="1"/>
  <c r="I3309" i="1"/>
  <c r="I3307" i="1"/>
  <c r="K3307" i="1" s="1"/>
  <c r="I3304" i="1"/>
  <c r="K3304" i="1" s="1"/>
  <c r="I3303" i="1"/>
  <c r="K3303" i="1" s="1"/>
  <c r="I3302" i="1"/>
  <c r="K3302" i="1" s="1"/>
  <c r="I3301" i="1"/>
  <c r="K3301" i="1" s="1"/>
  <c r="P3293" i="1"/>
  <c r="P3325" i="1" s="1"/>
  <c r="I3290" i="1"/>
  <c r="K3289" i="1"/>
  <c r="K3288" i="1"/>
  <c r="K3287" i="1"/>
  <c r="K3286" i="1"/>
  <c r="K3285" i="1"/>
  <c r="K3284" i="1"/>
  <c r="K3281" i="1"/>
  <c r="P3267" i="1"/>
  <c r="I3327" i="1" s="1"/>
  <c r="P3266" i="1"/>
  <c r="I3326" i="1" s="1"/>
  <c r="I3266" i="1"/>
  <c r="K3266" i="1" s="1"/>
  <c r="L3232" i="1" s="1"/>
  <c r="P3265" i="1"/>
  <c r="I3325" i="1" s="1"/>
  <c r="P3264" i="1"/>
  <c r="I3324" i="1" s="1"/>
  <c r="K3262" i="1"/>
  <c r="R3260" i="1"/>
  <c r="V3257" i="1"/>
  <c r="X3257" i="1" s="1"/>
  <c r="V3256" i="1"/>
  <c r="X3256" i="1" s="1"/>
  <c r="V3255" i="1"/>
  <c r="X3255" i="1" s="1"/>
  <c r="V3254" i="1"/>
  <c r="X3254" i="1" s="1"/>
  <c r="V3253" i="1"/>
  <c r="X3253" i="1" s="1"/>
  <c r="V3252" i="1"/>
  <c r="X3252" i="1" s="1"/>
  <c r="V3249" i="1"/>
  <c r="X3249" i="1" s="1"/>
  <c r="L3236" i="1"/>
  <c r="P3233" i="1"/>
  <c r="P3447" i="1" s="1"/>
  <c r="R3447" i="1" s="1"/>
  <c r="P3232" i="1"/>
  <c r="P3446" i="1" s="1"/>
  <c r="R3446" i="1" s="1"/>
  <c r="P3231" i="1"/>
  <c r="P3445" i="1" s="1"/>
  <c r="R3445" i="1" s="1"/>
  <c r="P3230" i="1"/>
  <c r="P3444" i="1" s="1"/>
  <c r="R3444" i="1" s="1"/>
  <c r="P3229" i="1"/>
  <c r="P3296" i="1" s="1"/>
  <c r="P3228" i="1"/>
  <c r="R3226" i="1"/>
  <c r="R3225" i="1"/>
  <c r="R3224" i="1"/>
  <c r="P3223" i="1"/>
  <c r="P3437" i="1" s="1"/>
  <c r="R3437" i="1" s="1"/>
  <c r="L3210" i="1"/>
  <c r="P3199" i="1"/>
  <c r="P3234" i="1" s="1"/>
  <c r="R3234" i="1" s="1"/>
  <c r="S3198" i="1"/>
  <c r="T3198" i="1" s="1"/>
  <c r="R3198" i="1"/>
  <c r="R3197" i="1"/>
  <c r="R3196" i="1"/>
  <c r="R3195" i="1"/>
  <c r="L3194" i="1"/>
  <c r="R3191" i="1"/>
  <c r="R3190" i="1"/>
  <c r="K3156" i="1"/>
  <c r="I3155" i="1"/>
  <c r="P3162" i="1" s="1"/>
  <c r="R3162" i="1" s="1"/>
  <c r="I3154" i="1"/>
  <c r="U3153" i="1"/>
  <c r="I3153" i="1"/>
  <c r="P3160" i="1" s="1"/>
  <c r="U3152" i="1"/>
  <c r="I3152" i="1"/>
  <c r="K3152" i="1" s="1"/>
  <c r="U3151" i="1"/>
  <c r="I3151" i="1"/>
  <c r="P3158" i="1" s="1"/>
  <c r="I3150" i="1"/>
  <c r="K3150" i="1" s="1"/>
  <c r="U3149" i="1"/>
  <c r="U3148" i="1"/>
  <c r="I3148" i="1"/>
  <c r="F3148" i="1"/>
  <c r="P3147" i="1"/>
  <c r="P3146" i="1"/>
  <c r="P3143" i="1"/>
  <c r="M3154" i="1" s="1"/>
  <c r="P3141" i="1"/>
  <c r="M3153" i="1" s="1"/>
  <c r="P3140" i="1"/>
  <c r="M3156" i="1" s="1"/>
  <c r="V3136" i="1"/>
  <c r="X3136" i="1" s="1"/>
  <c r="V3134" i="1"/>
  <c r="X3134" i="1" s="1"/>
  <c r="R3120" i="1"/>
  <c r="K3120" i="1"/>
  <c r="X3119" i="1"/>
  <c r="R3119" i="1"/>
  <c r="K3119" i="1"/>
  <c r="V3118" i="1"/>
  <c r="X3118" i="1" s="1"/>
  <c r="X3117" i="1"/>
  <c r="V3115" i="1"/>
  <c r="I4066" i="1" s="1"/>
  <c r="I3110" i="1"/>
  <c r="K3110" i="1" s="1"/>
  <c r="V3108" i="1"/>
  <c r="V3107" i="1"/>
  <c r="K3105" i="1"/>
  <c r="V3104" i="1"/>
  <c r="V3102" i="1"/>
  <c r="V3101" i="1"/>
  <c r="K3082" i="1"/>
  <c r="F3075" i="1"/>
  <c r="F3056" i="1"/>
  <c r="I3055" i="1"/>
  <c r="K3038" i="1"/>
  <c r="K3017" i="1"/>
  <c r="K3041" i="1" s="1"/>
  <c r="K3014" i="1"/>
  <c r="K3012" i="1"/>
  <c r="K3009" i="1"/>
  <c r="K2995" i="1"/>
  <c r="I2970" i="1"/>
  <c r="I2967" i="1"/>
  <c r="I2964" i="1"/>
  <c r="I2963" i="1"/>
  <c r="P2925" i="1"/>
  <c r="P2924" i="1"/>
  <c r="P2923" i="1"/>
  <c r="I2884" i="1"/>
  <c r="K2884" i="1" s="1"/>
  <c r="K2883" i="1"/>
  <c r="I2871" i="1"/>
  <c r="K2871" i="1" s="1"/>
  <c r="I2870" i="1"/>
  <c r="K2870" i="1" s="1"/>
  <c r="I2869" i="1"/>
  <c r="K2869" i="1" s="1"/>
  <c r="I2868" i="1"/>
  <c r="K2868" i="1" s="1"/>
  <c r="K2866" i="1"/>
  <c r="M2855" i="1"/>
  <c r="M2854" i="1"/>
  <c r="I2854" i="1"/>
  <c r="K2834" i="1"/>
  <c r="J2831" i="1"/>
  <c r="P2830" i="1"/>
  <c r="P2829" i="1"/>
  <c r="R2829" i="1" s="1"/>
  <c r="P2828" i="1"/>
  <c r="P2861" i="1" s="1"/>
  <c r="R2861" i="1" s="1"/>
  <c r="P2827" i="1"/>
  <c r="P2860" i="1" s="1"/>
  <c r="R2860" i="1" s="1"/>
  <c r="P2826" i="1"/>
  <c r="P2859" i="1" s="1"/>
  <c r="R2859" i="1" s="1"/>
  <c r="P2825" i="1"/>
  <c r="R2825" i="1" s="1"/>
  <c r="K2823" i="1"/>
  <c r="M2822" i="1"/>
  <c r="K2822" i="1"/>
  <c r="M2821" i="1"/>
  <c r="K2821" i="1"/>
  <c r="K2820" i="1"/>
  <c r="K2819" i="1"/>
  <c r="K2818" i="1"/>
  <c r="F2814" i="1"/>
  <c r="S2782" i="1" s="1"/>
  <c r="AE2795" i="1"/>
  <c r="AG2795" i="1" s="1"/>
  <c r="AE2794" i="1"/>
  <c r="AG2794" i="1" s="1"/>
  <c r="AE2793" i="1"/>
  <c r="AG2793" i="1" s="1"/>
  <c r="AE2792" i="1"/>
  <c r="AG2792" i="1" s="1"/>
  <c r="S2792" i="1"/>
  <c r="K2792" i="1"/>
  <c r="AE2791" i="1"/>
  <c r="AG2791" i="1" s="1"/>
  <c r="V2791" i="1"/>
  <c r="S2791" i="1"/>
  <c r="AE2790" i="1"/>
  <c r="AG2790" i="1" s="1"/>
  <c r="V2790" i="1"/>
  <c r="S2790" i="1"/>
  <c r="V2789" i="1"/>
  <c r="S2789" i="1"/>
  <c r="AE2788" i="1"/>
  <c r="AG2788" i="1" s="1"/>
  <c r="V2788" i="1"/>
  <c r="S2788" i="1"/>
  <c r="V2787" i="1"/>
  <c r="S2787" i="1"/>
  <c r="V2786" i="1"/>
  <c r="S2786" i="1"/>
  <c r="S2785" i="1"/>
  <c r="V2784" i="1"/>
  <c r="X2784" i="1" s="1"/>
  <c r="S2781" i="1"/>
  <c r="L2778" i="1"/>
  <c r="F2815" i="1" s="1"/>
  <c r="Y2777" i="1"/>
  <c r="K2774" i="1"/>
  <c r="K2773" i="1"/>
  <c r="E2757" i="1"/>
  <c r="E2759" i="1" s="1"/>
  <c r="E2755" i="1"/>
  <c r="E2756" i="1" s="1"/>
  <c r="I2733" i="1"/>
  <c r="K2733" i="1" s="1"/>
  <c r="I2717" i="1"/>
  <c r="K2717" i="1" s="1"/>
  <c r="I2711" i="1"/>
  <c r="L2688" i="1"/>
  <c r="K2685" i="1"/>
  <c r="I2680" i="1"/>
  <c r="K2680" i="1" s="1"/>
  <c r="I2670" i="1"/>
  <c r="I2669" i="1"/>
  <c r="I2668" i="1"/>
  <c r="I3106" i="1" s="1"/>
  <c r="K3106" i="1" s="1"/>
  <c r="I2667" i="1"/>
  <c r="K2667" i="1" s="1"/>
  <c r="K2665" i="1"/>
  <c r="AE2659" i="1"/>
  <c r="AG2659" i="1" s="1"/>
  <c r="AG2657" i="1"/>
  <c r="AG2656" i="1"/>
  <c r="AG2655" i="1"/>
  <c r="AG2654" i="1"/>
  <c r="AG2653" i="1"/>
  <c r="AB2649" i="1"/>
  <c r="AE2645" i="1"/>
  <c r="AE2644" i="1"/>
  <c r="P2642" i="1"/>
  <c r="I2642" i="1"/>
  <c r="V2610" i="1" s="1"/>
  <c r="Z2608" i="1" s="1"/>
  <c r="I2641" i="1"/>
  <c r="P2648" i="1" s="1"/>
  <c r="R2648" i="1" s="1"/>
  <c r="AE2640" i="1"/>
  <c r="M2640" i="1"/>
  <c r="I2640" i="1"/>
  <c r="K2640" i="1" s="1"/>
  <c r="AE2639" i="1"/>
  <c r="I2639" i="1"/>
  <c r="P2646" i="1" s="1"/>
  <c r="R2646" i="1" s="1"/>
  <c r="I2638" i="1"/>
  <c r="P2645" i="1" s="1"/>
  <c r="R2645" i="1" s="1"/>
  <c r="AE2637" i="1"/>
  <c r="AB2652" i="1" s="1"/>
  <c r="P2637" i="1"/>
  <c r="M2642" i="1" s="1"/>
  <c r="R2642" i="1" s="1"/>
  <c r="I2637" i="1"/>
  <c r="K2635" i="1"/>
  <c r="P2632" i="1"/>
  <c r="M2641" i="1" s="1"/>
  <c r="K2629" i="1"/>
  <c r="I2629" i="1"/>
  <c r="I2630" i="1" s="1"/>
  <c r="I2625" i="1"/>
  <c r="AE2623" i="1"/>
  <c r="AG2623" i="1" s="1"/>
  <c r="AB2615" i="1"/>
  <c r="AE2611" i="1"/>
  <c r="AE2610" i="1"/>
  <c r="AE2612" i="1" s="1"/>
  <c r="AB2617" i="1" s="1"/>
  <c r="K2610" i="1"/>
  <c r="X2609" i="1"/>
  <c r="I2609" i="1"/>
  <c r="H3854" i="1" s="1"/>
  <c r="Z2607" i="1"/>
  <c r="V2607" i="1"/>
  <c r="AE2621" i="1" s="1"/>
  <c r="AG2621" i="1" s="1"/>
  <c r="AE2606" i="1"/>
  <c r="AE2605" i="1"/>
  <c r="I2604" i="1"/>
  <c r="AE2603" i="1"/>
  <c r="AB2618" i="1" s="1"/>
  <c r="V2603" i="1"/>
  <c r="AE2617" i="1" s="1"/>
  <c r="Z2601" i="1"/>
  <c r="S2601" i="1"/>
  <c r="V2597" i="1"/>
  <c r="V2596" i="1"/>
  <c r="V2592" i="1"/>
  <c r="V2591" i="1"/>
  <c r="V2593" i="1" s="1"/>
  <c r="S2602" i="1" s="1"/>
  <c r="V2589" i="1"/>
  <c r="S2604" i="1" s="1"/>
  <c r="O2580" i="1"/>
  <c r="P2576" i="1"/>
  <c r="R2576" i="1" s="1"/>
  <c r="K2575" i="1"/>
  <c r="H2574" i="1"/>
  <c r="P2569" i="1"/>
  <c r="I2569" i="1"/>
  <c r="K2543" i="1"/>
  <c r="K2540" i="1"/>
  <c r="I2534" i="1"/>
  <c r="N2522" i="1"/>
  <c r="R2517" i="1"/>
  <c r="P2517" i="1"/>
  <c r="K2514" i="1"/>
  <c r="R2510" i="1"/>
  <c r="K2510" i="1"/>
  <c r="I2509" i="1"/>
  <c r="P2516" i="1" s="1"/>
  <c r="R2516" i="1" s="1"/>
  <c r="P2507" i="1"/>
  <c r="P2506" i="1"/>
  <c r="P2505" i="1"/>
  <c r="P2504" i="1"/>
  <c r="I2503" i="1"/>
  <c r="H2487" i="1"/>
  <c r="I2479" i="1"/>
  <c r="I2481" i="1" s="1"/>
  <c r="F2485" i="1" s="1"/>
  <c r="H2472" i="1"/>
  <c r="I2469" i="1"/>
  <c r="I2468" i="1"/>
  <c r="I2467" i="1"/>
  <c r="K2467" i="1" s="1"/>
  <c r="I2466" i="1"/>
  <c r="I2462" i="1"/>
  <c r="I2442" i="1"/>
  <c r="K2442" i="1" s="1"/>
  <c r="R2437" i="1"/>
  <c r="R2429" i="1"/>
  <c r="K2422" i="1"/>
  <c r="R2408" i="1"/>
  <c r="I2408" i="1"/>
  <c r="K2408" i="1" s="1"/>
  <c r="R2407" i="1"/>
  <c r="R2406" i="1"/>
  <c r="R2405" i="1"/>
  <c r="R2404" i="1"/>
  <c r="R2403" i="1"/>
  <c r="R2402" i="1"/>
  <c r="R2401" i="1"/>
  <c r="R2400" i="1"/>
  <c r="R2399" i="1"/>
  <c r="R2398" i="1"/>
  <c r="R2397" i="1"/>
  <c r="K2397" i="1"/>
  <c r="R2396" i="1"/>
  <c r="R2395" i="1"/>
  <c r="R2394" i="1"/>
  <c r="R2393" i="1"/>
  <c r="R2392" i="1"/>
  <c r="E2392" i="1"/>
  <c r="E2393" i="1" s="1"/>
  <c r="R2391" i="1"/>
  <c r="K2388" i="1"/>
  <c r="K2387" i="1"/>
  <c r="P2372" i="1"/>
  <c r="R2372" i="1" s="1"/>
  <c r="P2371" i="1"/>
  <c r="R2371" i="1" s="1"/>
  <c r="K2366" i="1"/>
  <c r="K2365" i="1"/>
  <c r="K2364" i="1"/>
  <c r="I2347" i="1"/>
  <c r="K2347" i="1" s="1"/>
  <c r="D2347" i="1"/>
  <c r="R2345" i="1"/>
  <c r="R2334" i="1"/>
  <c r="K2327" i="1"/>
  <c r="E2313" i="1"/>
  <c r="K2312" i="1"/>
  <c r="K2311" i="1"/>
  <c r="K2310" i="1"/>
  <c r="I2309" i="1"/>
  <c r="K2309" i="1" s="1"/>
  <c r="L2307" i="1"/>
  <c r="L2308" i="1" s="1"/>
  <c r="I2299" i="1"/>
  <c r="K2299" i="1" s="1"/>
  <c r="H2299" i="1"/>
  <c r="O2299" i="1" s="1"/>
  <c r="I2297" i="1"/>
  <c r="K2297" i="1" s="1"/>
  <c r="R2295" i="1"/>
  <c r="K2295" i="1"/>
  <c r="L2270" i="1"/>
  <c r="L2260" i="1"/>
  <c r="L2259" i="1"/>
  <c r="M2255" i="1"/>
  <c r="K2248" i="1"/>
  <c r="I2247" i="1"/>
  <c r="K2247" i="1" s="1"/>
  <c r="I2246" i="1"/>
  <c r="K2246" i="1" s="1"/>
  <c r="I2245" i="1"/>
  <c r="K2245" i="1" s="1"/>
  <c r="I2244" i="1"/>
  <c r="K2244" i="1" s="1"/>
  <c r="I2221" i="1"/>
  <c r="K2221" i="1" s="1"/>
  <c r="K2225" i="1" s="1"/>
  <c r="C414" i="55" s="1"/>
  <c r="I2212" i="1"/>
  <c r="K2212" i="1" s="1"/>
  <c r="K2216" i="1" s="1"/>
  <c r="C413" i="55" s="1"/>
  <c r="I2202" i="1"/>
  <c r="K2202" i="1" s="1"/>
  <c r="K2206" i="1" s="1"/>
  <c r="C412" i="55" s="1"/>
  <c r="J2197" i="1"/>
  <c r="K2197" i="1" s="1"/>
  <c r="K2200" i="1" s="1"/>
  <c r="I2189" i="1"/>
  <c r="K2189" i="1" s="1"/>
  <c r="K2193" i="1" s="1"/>
  <c r="C409" i="55" s="1"/>
  <c r="I2176" i="1"/>
  <c r="K2176" i="1" s="1"/>
  <c r="H2174" i="1"/>
  <c r="I2163" i="1"/>
  <c r="K2163" i="1" s="1"/>
  <c r="R2151" i="1"/>
  <c r="I2149" i="1"/>
  <c r="P2156" i="1" s="1"/>
  <c r="R2156" i="1" s="1"/>
  <c r="I2144" i="1"/>
  <c r="K2144" i="1" s="1"/>
  <c r="I2129" i="1"/>
  <c r="K2129" i="1" s="1"/>
  <c r="I2124" i="1"/>
  <c r="K2124" i="1" s="1"/>
  <c r="I2116" i="1"/>
  <c r="I2104" i="1"/>
  <c r="K2104" i="1" s="1"/>
  <c r="K2096" i="1"/>
  <c r="K2095" i="1"/>
  <c r="I2094" i="1"/>
  <c r="K2094" i="1" s="1"/>
  <c r="I2093" i="1"/>
  <c r="K2093" i="1" s="1"/>
  <c r="P2080" i="1"/>
  <c r="P2079" i="1"/>
  <c r="I2076" i="1"/>
  <c r="I2075" i="1"/>
  <c r="I2074" i="1"/>
  <c r="I2073" i="1"/>
  <c r="P2072" i="1"/>
  <c r="M2082" i="1" s="1"/>
  <c r="P2071" i="1"/>
  <c r="M2081" i="1" s="1"/>
  <c r="P2070" i="1"/>
  <c r="M2080" i="1" s="1"/>
  <c r="P2069" i="1"/>
  <c r="M2079" i="1" s="1"/>
  <c r="P2067" i="1"/>
  <c r="M2078" i="1" s="1"/>
  <c r="P2064" i="1"/>
  <c r="P2063" i="1"/>
  <c r="P2059" i="1"/>
  <c r="P2058" i="1"/>
  <c r="P2055" i="1"/>
  <c r="P2054" i="1"/>
  <c r="I2052" i="1"/>
  <c r="I2051" i="1"/>
  <c r="P2050" i="1"/>
  <c r="K2050" i="1"/>
  <c r="P2049" i="1"/>
  <c r="I2049" i="1"/>
  <c r="P2047" i="1"/>
  <c r="P2032" i="1"/>
  <c r="I2024" i="1"/>
  <c r="P2014" i="1"/>
  <c r="I2005" i="1"/>
  <c r="K2005" i="1" s="1"/>
  <c r="P1996" i="1"/>
  <c r="P1990" i="1"/>
  <c r="P1988" i="1"/>
  <c r="I1986" i="1"/>
  <c r="P1986" i="1" s="1"/>
  <c r="P1975" i="1"/>
  <c r="I1968" i="1"/>
  <c r="K1968" i="1" s="1"/>
  <c r="N1943" i="1"/>
  <c r="K1941" i="1"/>
  <c r="K1939" i="1"/>
  <c r="K1936" i="1"/>
  <c r="K1925" i="1"/>
  <c r="I1922" i="1"/>
  <c r="I1923" i="1" s="1"/>
  <c r="K1923" i="1" s="1"/>
  <c r="P1909" i="1"/>
  <c r="R1909" i="1" s="1"/>
  <c r="I1909" i="1"/>
  <c r="K1909" i="1" s="1"/>
  <c r="R1908" i="1"/>
  <c r="I1908" i="1"/>
  <c r="K1908" i="1" s="1"/>
  <c r="I1907" i="1"/>
  <c r="K1907" i="1" s="1"/>
  <c r="P1897" i="1"/>
  <c r="I1895" i="1"/>
  <c r="I1896" i="1" s="1"/>
  <c r="K1896" i="1" s="1"/>
  <c r="R1890" i="1"/>
  <c r="R1889" i="1"/>
  <c r="R1887" i="1"/>
  <c r="I1887" i="1"/>
  <c r="K1886" i="1"/>
  <c r="P1878" i="1"/>
  <c r="R1878" i="1" s="1"/>
  <c r="I1878" i="1"/>
  <c r="R1877" i="1"/>
  <c r="I1870" i="1"/>
  <c r="K1870" i="1" s="1"/>
  <c r="P1866" i="1"/>
  <c r="P1865" i="1"/>
  <c r="P1896" i="1" s="1"/>
  <c r="P1864" i="1"/>
  <c r="P1895" i="1" s="1"/>
  <c r="P1859" i="1"/>
  <c r="R1859" i="1" s="1"/>
  <c r="P1858" i="1"/>
  <c r="R1858" i="1" s="1"/>
  <c r="P1857" i="1"/>
  <c r="P1888" i="1" s="1"/>
  <c r="K1848" i="1"/>
  <c r="I1843" i="1"/>
  <c r="K1843" i="1" s="1"/>
  <c r="I1842" i="1"/>
  <c r="K1842" i="1" s="1"/>
  <c r="I1840" i="1"/>
  <c r="P1856" i="1" s="1"/>
  <c r="R1856" i="1" s="1"/>
  <c r="K1830" i="1"/>
  <c r="I1825" i="1"/>
  <c r="K1825" i="1" s="1"/>
  <c r="I1824" i="1"/>
  <c r="K1824" i="1" s="1"/>
  <c r="I1822" i="1"/>
  <c r="K1822" i="1" s="1"/>
  <c r="K1812" i="1"/>
  <c r="I1807" i="1"/>
  <c r="I2736" i="1" s="1"/>
  <c r="K2736" i="1" s="1"/>
  <c r="I1806" i="1"/>
  <c r="I2735" i="1" s="1"/>
  <c r="K2735" i="1" s="1"/>
  <c r="I1804" i="1"/>
  <c r="K1804" i="1" s="1"/>
  <c r="M1797" i="1"/>
  <c r="L1797" i="1"/>
  <c r="K1797" i="1"/>
  <c r="C859" i="55" s="1"/>
  <c r="K1796" i="1"/>
  <c r="C373" i="55" s="1"/>
  <c r="K1793" i="1"/>
  <c r="K1786" i="1"/>
  <c r="I1770" i="1"/>
  <c r="K1770" i="1" s="1"/>
  <c r="I1769" i="1"/>
  <c r="K1769" i="1" s="1"/>
  <c r="K1768" i="1"/>
  <c r="K1756" i="1"/>
  <c r="K1755" i="1"/>
  <c r="K1754" i="1"/>
  <c r="K1751" i="1"/>
  <c r="K1723" i="1"/>
  <c r="K1722" i="1"/>
  <c r="K1721" i="1"/>
  <c r="AE1695" i="1"/>
  <c r="AE1694" i="1"/>
  <c r="K1694" i="1"/>
  <c r="K1695" i="1" s="1"/>
  <c r="K1697" i="1" s="1"/>
  <c r="C367" i="55" s="1"/>
  <c r="AE1693" i="1"/>
  <c r="AE1692" i="1"/>
  <c r="AE1691" i="1"/>
  <c r="AE1690" i="1"/>
  <c r="AE1689" i="1"/>
  <c r="AE1688" i="1"/>
  <c r="AE1687" i="1"/>
  <c r="K1687" i="1"/>
  <c r="K1690" i="1" s="1"/>
  <c r="C366" i="55" s="1"/>
  <c r="AE1686" i="1"/>
  <c r="AE1685" i="1"/>
  <c r="AE1684" i="1"/>
  <c r="AE1683" i="1"/>
  <c r="AE1682" i="1"/>
  <c r="AE1681" i="1"/>
  <c r="AE1680" i="1"/>
  <c r="K1680" i="1"/>
  <c r="AE1679" i="1"/>
  <c r="AE1678" i="1"/>
  <c r="K1678" i="1"/>
  <c r="AE1677" i="1"/>
  <c r="AE1676" i="1"/>
  <c r="AE1675" i="1"/>
  <c r="AE1674" i="1"/>
  <c r="AE1673" i="1"/>
  <c r="AE1672" i="1"/>
  <c r="AE1671" i="1"/>
  <c r="AE1670" i="1"/>
  <c r="AE1669" i="1"/>
  <c r="AE1668" i="1"/>
  <c r="AE1667" i="1"/>
  <c r="K1667" i="1"/>
  <c r="AE1666" i="1"/>
  <c r="K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S1640" i="1"/>
  <c r="AE1639" i="1"/>
  <c r="AE1638" i="1"/>
  <c r="AE1637" i="1"/>
  <c r="AE1636" i="1"/>
  <c r="AE1635" i="1"/>
  <c r="R1635" i="1"/>
  <c r="AE1634" i="1"/>
  <c r="P1634" i="1"/>
  <c r="AE1633" i="1"/>
  <c r="AE1632" i="1"/>
  <c r="Q1632" i="1"/>
  <c r="AE1631" i="1"/>
  <c r="R1631" i="1"/>
  <c r="Q1631" i="1"/>
  <c r="AE1630" i="1"/>
  <c r="Q1630" i="1"/>
  <c r="I1630" i="1"/>
  <c r="P1632" i="1" s="1"/>
  <c r="AE1629" i="1"/>
  <c r="R1629" i="1"/>
  <c r="Q1629" i="1"/>
  <c r="I1629" i="1"/>
  <c r="K1629" i="1" s="1"/>
  <c r="AE1628" i="1"/>
  <c r="Q1628" i="1"/>
  <c r="I1628" i="1"/>
  <c r="P1630" i="1" s="1"/>
  <c r="AE1627" i="1"/>
  <c r="I1627" i="1"/>
  <c r="K1627" i="1" s="1"/>
  <c r="AE1626" i="1"/>
  <c r="I1626" i="1"/>
  <c r="AE1625" i="1"/>
  <c r="AE1624" i="1"/>
  <c r="AE1623" i="1"/>
  <c r="AE1622" i="1"/>
  <c r="AE1621" i="1"/>
  <c r="AE1620" i="1"/>
  <c r="AE1619" i="1"/>
  <c r="AE1618" i="1"/>
  <c r="AE1617" i="1"/>
  <c r="AE1616" i="1"/>
  <c r="AE1615" i="1"/>
  <c r="O1615" i="1"/>
  <c r="AE1614" i="1"/>
  <c r="AE1613" i="1"/>
  <c r="AE1612" i="1"/>
  <c r="AE1611" i="1"/>
  <c r="AE1610" i="1"/>
  <c r="AE1609" i="1"/>
  <c r="AE1608" i="1"/>
  <c r="AE1607" i="1"/>
  <c r="AE1606" i="1"/>
  <c r="AE1605" i="1"/>
  <c r="AE1604" i="1"/>
  <c r="AE1603" i="1"/>
  <c r="P1603" i="1"/>
  <c r="AE1602" i="1"/>
  <c r="AE1601" i="1"/>
  <c r="AE1600" i="1"/>
  <c r="AE1599" i="1"/>
  <c r="AE1598" i="1"/>
  <c r="AE1597" i="1"/>
  <c r="AE1596" i="1"/>
  <c r="AE1595" i="1"/>
  <c r="AE1594" i="1"/>
  <c r="AE1593" i="1"/>
  <c r="AE1592" i="1"/>
  <c r="AE1591" i="1"/>
  <c r="K1591" i="1"/>
  <c r="AE1590" i="1"/>
  <c r="AE1589" i="1"/>
  <c r="AE1588" i="1"/>
  <c r="AE1587" i="1"/>
  <c r="AE1586" i="1"/>
  <c r="AE1585" i="1"/>
  <c r="AE1584" i="1"/>
  <c r="AE1583" i="1"/>
  <c r="AE1582" i="1"/>
  <c r="AE1581" i="1"/>
  <c r="AE1580" i="1"/>
  <c r="AE1579" i="1"/>
  <c r="AE1578" i="1"/>
  <c r="K1578" i="1"/>
  <c r="AE1577" i="1"/>
  <c r="AE1576" i="1"/>
  <c r="AE1575" i="1"/>
  <c r="AE1574" i="1"/>
  <c r="AE1573" i="1"/>
  <c r="AE1572" i="1"/>
  <c r="AE1571" i="1"/>
  <c r="AE1570" i="1"/>
  <c r="AE1569" i="1"/>
  <c r="AE1568" i="1"/>
  <c r="AE1567" i="1"/>
  <c r="AE1566" i="1"/>
  <c r="AE1565" i="1"/>
  <c r="AE1564" i="1"/>
  <c r="AE1563" i="1"/>
  <c r="I1563" i="1"/>
  <c r="K1563" i="1" s="1"/>
  <c r="AE1562" i="1"/>
  <c r="K1562" i="1"/>
  <c r="AE1561" i="1"/>
  <c r="AE1560" i="1"/>
  <c r="AE1559" i="1"/>
  <c r="I1559" i="1"/>
  <c r="K1559" i="1" s="1"/>
  <c r="AE1558" i="1"/>
  <c r="AE1557" i="1"/>
  <c r="AE1556" i="1"/>
  <c r="AE1555" i="1"/>
  <c r="AE1554" i="1"/>
  <c r="AE1553" i="1"/>
  <c r="AE1552" i="1"/>
  <c r="AE1551" i="1"/>
  <c r="AE1550" i="1"/>
  <c r="AE1549" i="1"/>
  <c r="AE1548" i="1"/>
  <c r="AE1547" i="1"/>
  <c r="I1547" i="1"/>
  <c r="I3196" i="1" s="1"/>
  <c r="AE1546" i="1"/>
  <c r="AE1545" i="1"/>
  <c r="AE1544" i="1"/>
  <c r="AE1543" i="1"/>
  <c r="AE1542" i="1"/>
  <c r="AE1541" i="1"/>
  <c r="AE1540" i="1"/>
  <c r="AE1539" i="1"/>
  <c r="AE1538" i="1"/>
  <c r="AE1537" i="1"/>
  <c r="AE1536" i="1"/>
  <c r="AE1535" i="1"/>
  <c r="AE1534" i="1"/>
  <c r="I1534" i="1"/>
  <c r="I3210" i="1" s="1"/>
  <c r="AE1533" i="1"/>
  <c r="AE1532" i="1"/>
  <c r="I1532" i="1"/>
  <c r="AE1531" i="1"/>
  <c r="AE1530" i="1"/>
  <c r="AE1529" i="1"/>
  <c r="AE1528" i="1"/>
  <c r="AE1527" i="1"/>
  <c r="AE1526" i="1"/>
  <c r="AE1525" i="1"/>
  <c r="AE1524" i="1"/>
  <c r="AE1523" i="1"/>
  <c r="AE1522" i="1"/>
  <c r="AE1521" i="1"/>
  <c r="R1521" i="1"/>
  <c r="AE1520" i="1"/>
  <c r="AE1519" i="1"/>
  <c r="AE1518" i="1"/>
  <c r="AE1517" i="1"/>
  <c r="I1517" i="1"/>
  <c r="K1517" i="1" s="1"/>
  <c r="AE1516" i="1"/>
  <c r="AE1515" i="1"/>
  <c r="AE1514" i="1"/>
  <c r="AE1513" i="1"/>
  <c r="AE1512" i="1"/>
  <c r="AE1511" i="1"/>
  <c r="AE1510" i="1"/>
  <c r="AE1509" i="1"/>
  <c r="AE1508" i="1"/>
  <c r="AE1507" i="1"/>
  <c r="AE1506" i="1"/>
  <c r="AE1505" i="1"/>
  <c r="I1505" i="1"/>
  <c r="AE1504" i="1"/>
  <c r="AE1503" i="1"/>
  <c r="AE1502" i="1"/>
  <c r="AE1501" i="1"/>
  <c r="AE1500" i="1"/>
  <c r="M1500" i="1"/>
  <c r="AE1499" i="1"/>
  <c r="AE1498" i="1"/>
  <c r="AE1497" i="1"/>
  <c r="AE1496" i="1"/>
  <c r="O1496" i="1"/>
  <c r="AE1495" i="1"/>
  <c r="O1495" i="1"/>
  <c r="AE1494" i="1"/>
  <c r="O1494" i="1"/>
  <c r="AE1493" i="1"/>
  <c r="AE1492" i="1"/>
  <c r="AE1491" i="1"/>
  <c r="AE1490" i="1"/>
  <c r="AE1489" i="1"/>
  <c r="AE1488" i="1"/>
  <c r="AE1487" i="1"/>
  <c r="AE1486" i="1"/>
  <c r="AE1485" i="1"/>
  <c r="AE1484" i="1"/>
  <c r="AE1483" i="1"/>
  <c r="AE1482" i="1"/>
  <c r="U1482" i="1"/>
  <c r="S1482" i="1"/>
  <c r="T1482" i="1" s="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S1454" i="1"/>
  <c r="AE1453" i="1"/>
  <c r="AE1452" i="1"/>
  <c r="M1452" i="1"/>
  <c r="AE1451" i="1"/>
  <c r="AE1450" i="1"/>
  <c r="AE1449" i="1"/>
  <c r="AE1448" i="1"/>
  <c r="AE1447" i="1"/>
  <c r="AE1446" i="1"/>
  <c r="AE1445" i="1"/>
  <c r="AE1444" i="1"/>
  <c r="AE1443" i="1"/>
  <c r="AE1442" i="1"/>
  <c r="AE1441" i="1"/>
  <c r="AE1440" i="1"/>
  <c r="AE1439" i="1"/>
  <c r="AE1438" i="1"/>
  <c r="AE1437" i="1"/>
  <c r="I1437" i="1"/>
  <c r="K1437" i="1" s="1"/>
  <c r="AE1436" i="1"/>
  <c r="AE1435" i="1"/>
  <c r="AE1434" i="1"/>
  <c r="AE1433" i="1"/>
  <c r="U1433" i="1"/>
  <c r="AE1432" i="1"/>
  <c r="AE1431" i="1"/>
  <c r="AE1430" i="1"/>
  <c r="S1430" i="1"/>
  <c r="AE1429" i="1"/>
  <c r="X1429" i="1"/>
  <c r="AE1428" i="1"/>
  <c r="X1428" i="1"/>
  <c r="AE1427" i="1"/>
  <c r="X1427" i="1"/>
  <c r="AE1426" i="1"/>
  <c r="AE1425" i="1"/>
  <c r="AE1424" i="1"/>
  <c r="AE1423" i="1"/>
  <c r="AE1422" i="1"/>
  <c r="AE1421" i="1"/>
  <c r="AE1420" i="1"/>
  <c r="AE1419" i="1"/>
  <c r="Y1419" i="1"/>
  <c r="L1419" i="1"/>
  <c r="AE1418" i="1"/>
  <c r="P1418" i="1"/>
  <c r="P1435" i="1" s="1"/>
  <c r="AE1417" i="1"/>
  <c r="Y1417" i="1"/>
  <c r="P1417" i="1"/>
  <c r="P1434" i="1" s="1"/>
  <c r="AE1416" i="1"/>
  <c r="P1416" i="1"/>
  <c r="P1433" i="1" s="1"/>
  <c r="AE1415" i="1"/>
  <c r="AE1414" i="1"/>
  <c r="P1414" i="1"/>
  <c r="R1414" i="1" s="1"/>
  <c r="AE1413" i="1"/>
  <c r="P1413" i="1"/>
  <c r="R1413" i="1" s="1"/>
  <c r="AE1412" i="1"/>
  <c r="P1412" i="1"/>
  <c r="AE1411" i="1"/>
  <c r="AE1410" i="1"/>
  <c r="AE1409" i="1"/>
  <c r="AE1408" i="1"/>
  <c r="P1408" i="1"/>
  <c r="P1425" i="1" s="1"/>
  <c r="AE1407" i="1"/>
  <c r="AE1406" i="1"/>
  <c r="S1406" i="1"/>
  <c r="AE1405" i="1"/>
  <c r="S1405" i="1"/>
  <c r="AE1404" i="1"/>
  <c r="S1404" i="1"/>
  <c r="L1404" i="1"/>
  <c r="AE1403" i="1"/>
  <c r="S1403" i="1"/>
  <c r="AE1402" i="1"/>
  <c r="S1402" i="1"/>
  <c r="AE1401" i="1"/>
  <c r="R1401" i="1"/>
  <c r="AE1400" i="1"/>
  <c r="R1400" i="1"/>
  <c r="AE1399" i="1"/>
  <c r="R1399" i="1"/>
  <c r="AE1398" i="1"/>
  <c r="AE1397" i="1"/>
  <c r="R1397" i="1"/>
  <c r="AE1396" i="1"/>
  <c r="R1396" i="1"/>
  <c r="AE1395" i="1"/>
  <c r="R1395" i="1"/>
  <c r="AE1394" i="1"/>
  <c r="P1394" i="1"/>
  <c r="AE1393" i="1"/>
  <c r="P1393" i="1"/>
  <c r="V1354" i="1" s="1"/>
  <c r="X1354" i="1" s="1"/>
  <c r="AE1392" i="1"/>
  <c r="P1392" i="1"/>
  <c r="P1409" i="1" s="1"/>
  <c r="AE1391" i="1"/>
  <c r="R1391" i="1"/>
  <c r="AE1390" i="1"/>
  <c r="AE1389" i="1"/>
  <c r="AE1388" i="1"/>
  <c r="AE1387" i="1"/>
  <c r="AE1386" i="1"/>
  <c r="AE1385" i="1"/>
  <c r="AE1384" i="1"/>
  <c r="AE1383" i="1"/>
  <c r="AE1382" i="1"/>
  <c r="AE1381" i="1"/>
  <c r="AE1380" i="1"/>
  <c r="AE1379" i="1"/>
  <c r="V1379" i="1"/>
  <c r="X1379" i="1" s="1"/>
  <c r="AE1378" i="1"/>
  <c r="I1378" i="1"/>
  <c r="K1378" i="1" s="1"/>
  <c r="AE1377" i="1"/>
  <c r="V1377" i="1"/>
  <c r="AE1376" i="1"/>
  <c r="AE1375" i="1"/>
  <c r="V1375" i="1"/>
  <c r="X1375" i="1" s="1"/>
  <c r="AE1374" i="1"/>
  <c r="AE1373" i="1"/>
  <c r="AE1372" i="1"/>
  <c r="P1372" i="1"/>
  <c r="R1372" i="1" s="1"/>
  <c r="AE1371" i="1"/>
  <c r="AE1370" i="1"/>
  <c r="AE1369" i="1"/>
  <c r="AE1368" i="1"/>
  <c r="AE1367" i="1"/>
  <c r="AE1366" i="1"/>
  <c r="AE1365" i="1"/>
  <c r="AE1364" i="1"/>
  <c r="AE1363" i="1"/>
  <c r="AE1362" i="1"/>
  <c r="V1362" i="1"/>
  <c r="X1362" i="1" s="1"/>
  <c r="AE1361" i="1"/>
  <c r="V1361" i="1"/>
  <c r="X1361" i="1" s="1"/>
  <c r="AE1360" i="1"/>
  <c r="V1360" i="1"/>
  <c r="AE1359" i="1"/>
  <c r="AE1358" i="1"/>
  <c r="V1358" i="1"/>
  <c r="AE1357" i="1"/>
  <c r="V1357" i="1"/>
  <c r="AB1355" i="1" s="1"/>
  <c r="AD1355" i="1" s="1"/>
  <c r="AE1356" i="1"/>
  <c r="V1356" i="1"/>
  <c r="AB1354" i="1" s="1"/>
  <c r="I1356" i="1"/>
  <c r="AE1355" i="1"/>
  <c r="R1355" i="1"/>
  <c r="AE1354" i="1"/>
  <c r="AE1353" i="1"/>
  <c r="R1353" i="1"/>
  <c r="AE1352" i="1"/>
  <c r="V1352" i="1"/>
  <c r="X1352" i="1" s="1"/>
  <c r="AE1351" i="1"/>
  <c r="AE1350" i="1"/>
  <c r="AE1349" i="1"/>
  <c r="AE1348" i="1"/>
  <c r="AE1347" i="1"/>
  <c r="Y1347" i="1"/>
  <c r="AE1346" i="1"/>
  <c r="AE1345" i="1"/>
  <c r="AE1344" i="1"/>
  <c r="AE1343" i="1"/>
  <c r="AE1342" i="1"/>
  <c r="X1342" i="1"/>
  <c r="AE1341" i="1"/>
  <c r="AE1340" i="1"/>
  <c r="X1340" i="1"/>
  <c r="AE1339" i="1"/>
  <c r="V1339" i="1"/>
  <c r="X1339" i="1" s="1"/>
  <c r="AE1338" i="1"/>
  <c r="X1338" i="1"/>
  <c r="AE1337" i="1"/>
  <c r="AE1336" i="1"/>
  <c r="AE1335" i="1"/>
  <c r="AE1334" i="1"/>
  <c r="AE1333" i="1"/>
  <c r="AE1332" i="1"/>
  <c r="R1332" i="1"/>
  <c r="AE1331" i="1"/>
  <c r="X1331" i="1"/>
  <c r="AE1330" i="1"/>
  <c r="AE1329" i="1"/>
  <c r="AE1328" i="1"/>
  <c r="AE1327" i="1"/>
  <c r="AE1326" i="1"/>
  <c r="AE1325" i="1"/>
  <c r="AE1324" i="1"/>
  <c r="V1324" i="1"/>
  <c r="X1324" i="1" s="1"/>
  <c r="AE1323" i="1"/>
  <c r="AE1322" i="1"/>
  <c r="AE1321" i="1"/>
  <c r="AE1320" i="1"/>
  <c r="P1320" i="1"/>
  <c r="AE1319" i="1"/>
  <c r="R1319" i="1"/>
  <c r="AE1318" i="1"/>
  <c r="V1318" i="1"/>
  <c r="X1318" i="1" s="1"/>
  <c r="AE1317" i="1"/>
  <c r="AE1316" i="1"/>
  <c r="AE1315" i="1"/>
  <c r="AE1314" i="1"/>
  <c r="AE1313" i="1"/>
  <c r="AE1312" i="1"/>
  <c r="AE1311" i="1"/>
  <c r="AE1310" i="1"/>
  <c r="AE1309" i="1"/>
  <c r="AE1308" i="1"/>
  <c r="AE1307" i="1"/>
  <c r="AE1306" i="1"/>
  <c r="AE1305" i="1"/>
  <c r="V1305" i="1"/>
  <c r="V1325" i="1" s="1"/>
  <c r="AE1304" i="1"/>
  <c r="X1304" i="1"/>
  <c r="AE1303" i="1"/>
  <c r="AE1302" i="1"/>
  <c r="AE1301" i="1"/>
  <c r="P1301" i="1"/>
  <c r="R1301" i="1" s="1"/>
  <c r="AE1300" i="1"/>
  <c r="R1300" i="1"/>
  <c r="AE1299" i="1"/>
  <c r="AE1298" i="1"/>
  <c r="X1298" i="1"/>
  <c r="AE1297" i="1"/>
  <c r="AE1296" i="1"/>
  <c r="AE1295" i="1"/>
  <c r="AE1294" i="1"/>
  <c r="AE1293" i="1"/>
  <c r="AE1292" i="1"/>
  <c r="AE1291" i="1"/>
  <c r="AE1290" i="1"/>
  <c r="AE1289" i="1"/>
  <c r="AE1288" i="1"/>
  <c r="AE1287" i="1"/>
  <c r="AE1286" i="1"/>
  <c r="AE1285" i="1"/>
  <c r="V1285" i="1"/>
  <c r="X1285" i="1" s="1"/>
  <c r="AE1284" i="1"/>
  <c r="AE1283" i="1"/>
  <c r="K1283" i="1"/>
  <c r="AE1282" i="1"/>
  <c r="AE1281" i="1"/>
  <c r="AE1280" i="1"/>
  <c r="AE1279" i="1"/>
  <c r="V1279" i="1"/>
  <c r="AE1278" i="1"/>
  <c r="AE1277" i="1"/>
  <c r="X1277" i="1"/>
  <c r="AE1276" i="1"/>
  <c r="AE1275" i="1"/>
  <c r="AE1274" i="1"/>
  <c r="AE1273" i="1"/>
  <c r="AE1272" i="1"/>
  <c r="AE1271" i="1"/>
  <c r="AE1270" i="1"/>
  <c r="I1270" i="1"/>
  <c r="AE1269" i="1"/>
  <c r="M1269" i="1"/>
  <c r="AE1268" i="1"/>
  <c r="AE1267" i="1"/>
  <c r="AD1267" i="1"/>
  <c r="AE1266" i="1"/>
  <c r="AC1266" i="1"/>
  <c r="AE1265" i="1"/>
  <c r="AC1265" i="1"/>
  <c r="AE1264" i="1"/>
  <c r="AC1264" i="1"/>
  <c r="P1264" i="1"/>
  <c r="P1380" i="1" s="1"/>
  <c r="R1380" i="1" s="1"/>
  <c r="AE1263" i="1"/>
  <c r="AC1263" i="1"/>
  <c r="AB1263" i="1"/>
  <c r="AD1263" i="1" s="1"/>
  <c r="AE1262" i="1"/>
  <c r="AC1262" i="1"/>
  <c r="AD1262" i="1"/>
  <c r="AE1261" i="1"/>
  <c r="AE1260" i="1"/>
  <c r="AE1259" i="1"/>
  <c r="AE1258" i="1"/>
  <c r="R1257" i="1"/>
  <c r="AE1256" i="1"/>
  <c r="K1256" i="1"/>
  <c r="AE1255" i="1"/>
  <c r="AE1254" i="1"/>
  <c r="AE1253" i="1"/>
  <c r="AB1253" i="1"/>
  <c r="AB1225" i="1" s="1"/>
  <c r="AE1252" i="1"/>
  <c r="AE1251" i="1"/>
  <c r="AE1250" i="1"/>
  <c r="AE1249" i="1"/>
  <c r="AD1249" i="1"/>
  <c r="AE1248" i="1"/>
  <c r="AE1247" i="1"/>
  <c r="AE1246" i="1"/>
  <c r="AE1245" i="1"/>
  <c r="AE1244" i="1"/>
  <c r="V1244" i="1"/>
  <c r="X1244" i="1" s="1"/>
  <c r="AE1243" i="1"/>
  <c r="AE1242" i="1"/>
  <c r="AE1241" i="1"/>
  <c r="AD1241" i="1"/>
  <c r="AE1240" i="1"/>
  <c r="AE1239" i="1"/>
  <c r="AE1238" i="1"/>
  <c r="AE1237" i="1"/>
  <c r="X1237" i="1"/>
  <c r="AE1236" i="1"/>
  <c r="AE1235" i="1"/>
  <c r="AE1234" i="1"/>
  <c r="R1234" i="1"/>
  <c r="AE1233" i="1"/>
  <c r="AE1232" i="1"/>
  <c r="I1232" i="1"/>
  <c r="K1232" i="1" s="1"/>
  <c r="AE1231" i="1"/>
  <c r="AE1230" i="1"/>
  <c r="AE1229" i="1"/>
  <c r="AE1228" i="1"/>
  <c r="AE1227" i="1"/>
  <c r="AE1226" i="1"/>
  <c r="AB1226" i="1"/>
  <c r="S1226" i="1"/>
  <c r="AE1225" i="1"/>
  <c r="AE1224" i="1"/>
  <c r="AE1223" i="1"/>
  <c r="AE1222" i="1"/>
  <c r="AE1221" i="1"/>
  <c r="AB1221" i="1"/>
  <c r="AD1221" i="1" s="1"/>
  <c r="AE1220" i="1"/>
  <c r="AE1219" i="1"/>
  <c r="AE1218" i="1"/>
  <c r="AE1217" i="1"/>
  <c r="AE1216" i="1"/>
  <c r="AE1215" i="1"/>
  <c r="AB1215" i="1"/>
  <c r="T1215" i="1"/>
  <c r="R1215" i="1"/>
  <c r="AE1214" i="1"/>
  <c r="AE1213" i="1"/>
  <c r="AD1213" i="1"/>
  <c r="AE1212" i="1"/>
  <c r="AC1212" i="1"/>
  <c r="AE1211" i="1"/>
  <c r="AE1210" i="1"/>
  <c r="AE1209" i="1"/>
  <c r="AE1203" i="1"/>
  <c r="AE1202" i="1"/>
  <c r="I1193" i="1"/>
  <c r="AE1191" i="1"/>
  <c r="I1191" i="1"/>
  <c r="K1191" i="1" s="1"/>
  <c r="C321" i="55" s="1"/>
  <c r="AE1190" i="1"/>
  <c r="AE1189" i="1"/>
  <c r="AE1188" i="1"/>
  <c r="AD1188" i="1"/>
  <c r="K1178" i="1"/>
  <c r="K1177" i="1"/>
  <c r="Q1176" i="1"/>
  <c r="K1176" i="1"/>
  <c r="I1160" i="1"/>
  <c r="K1160" i="1" s="1"/>
  <c r="I1159" i="1"/>
  <c r="K1159" i="1" s="1"/>
  <c r="X1153" i="1"/>
  <c r="P1151" i="1"/>
  <c r="P1150" i="1"/>
  <c r="P1149" i="1"/>
  <c r="I1146" i="1"/>
  <c r="K1146" i="1" s="1"/>
  <c r="I1145" i="1"/>
  <c r="K1145" i="1" s="1"/>
  <c r="Q1142" i="1"/>
  <c r="K1135" i="1"/>
  <c r="K1134" i="1"/>
  <c r="I1133" i="1"/>
  <c r="K1133" i="1" s="1"/>
  <c r="I1132" i="1"/>
  <c r="K1132" i="1" s="1"/>
  <c r="K1130" i="1"/>
  <c r="I1107" i="1"/>
  <c r="K1107" i="1" s="1"/>
  <c r="I1106" i="1"/>
  <c r="K1106" i="1" s="1"/>
  <c r="I1105" i="1"/>
  <c r="K1105" i="1" s="1"/>
  <c r="I1103" i="1"/>
  <c r="K1103" i="1" s="1"/>
  <c r="R1092" i="1"/>
  <c r="I1092" i="1"/>
  <c r="K1092" i="1" s="1"/>
  <c r="I1090" i="1"/>
  <c r="K1090" i="1" s="1"/>
  <c r="I1089" i="1"/>
  <c r="K1089" i="1" s="1"/>
  <c r="I1087" i="1"/>
  <c r="K1087" i="1" s="1"/>
  <c r="H1087" i="1"/>
  <c r="H1103" i="1" s="1"/>
  <c r="I1077" i="1"/>
  <c r="K1077" i="1" s="1"/>
  <c r="I1075" i="1"/>
  <c r="K1075" i="1" s="1"/>
  <c r="I1074" i="1"/>
  <c r="K1074" i="1" s="1"/>
  <c r="K1072" i="1"/>
  <c r="I1062" i="1"/>
  <c r="AE1071" i="1" s="1"/>
  <c r="AG1071" i="1" s="1"/>
  <c r="I1061" i="1"/>
  <c r="K1061" i="1" s="1"/>
  <c r="I1060" i="1"/>
  <c r="I1076" i="1" s="1"/>
  <c r="K1076" i="1" s="1"/>
  <c r="I1059" i="1"/>
  <c r="P1070" i="1" s="1"/>
  <c r="I1058" i="1"/>
  <c r="I1057" i="1"/>
  <c r="P1068" i="1" s="1"/>
  <c r="I1055" i="1"/>
  <c r="P1066" i="1" s="1"/>
  <c r="AE1041" i="1"/>
  <c r="AE1040" i="1"/>
  <c r="AE1039" i="1"/>
  <c r="AE1038" i="1"/>
  <c r="AE1037" i="1"/>
  <c r="AE1036" i="1"/>
  <c r="AE1034" i="1"/>
  <c r="AE1033" i="1"/>
  <c r="AE1032" i="1"/>
  <c r="K1032" i="1"/>
  <c r="AE1031" i="1"/>
  <c r="AE1030" i="1"/>
  <c r="AE1029" i="1"/>
  <c r="AE1028" i="1"/>
  <c r="AE1027" i="1"/>
  <c r="AE1026" i="1"/>
  <c r="AE1025" i="1"/>
  <c r="I1025" i="1"/>
  <c r="AE1024" i="1"/>
  <c r="I1024" i="1"/>
  <c r="P1098" i="1" s="1"/>
  <c r="R1098" i="1" s="1"/>
  <c r="AE1023" i="1"/>
  <c r="I1023" i="1"/>
  <c r="P1097" i="1" s="1"/>
  <c r="R1097" i="1" s="1"/>
  <c r="AE1022" i="1"/>
  <c r="I1022" i="1"/>
  <c r="P1096" i="1" s="1"/>
  <c r="P1117" i="1" s="1"/>
  <c r="R1117" i="1" s="1"/>
  <c r="AE1021" i="1"/>
  <c r="I1021" i="1"/>
  <c r="AE1020" i="1"/>
  <c r="I1020" i="1"/>
  <c r="P1094" i="1" s="1"/>
  <c r="R1094" i="1" s="1"/>
  <c r="AE1019" i="1"/>
  <c r="AE1018" i="1"/>
  <c r="AE1017" i="1"/>
  <c r="AE1016" i="1"/>
  <c r="AE1015" i="1"/>
  <c r="AE1014" i="1"/>
  <c r="AE1013" i="1"/>
  <c r="AE1012" i="1"/>
  <c r="AE1011" i="1"/>
  <c r="AE1010" i="1"/>
  <c r="AE1009" i="1"/>
  <c r="AE1008" i="1"/>
  <c r="AE1007" i="1"/>
  <c r="AE1006" i="1"/>
  <c r="AE1004" i="1"/>
  <c r="AE1003" i="1"/>
  <c r="AE1002" i="1"/>
  <c r="AE1001" i="1"/>
  <c r="AE1000" i="1"/>
  <c r="AE999" i="1"/>
  <c r="AE998" i="1"/>
  <c r="AE997" i="1"/>
  <c r="AE996" i="1"/>
  <c r="P996" i="1"/>
  <c r="R996" i="1" s="1"/>
  <c r="I996" i="1"/>
  <c r="I1026" i="1" s="1"/>
  <c r="AE995" i="1"/>
  <c r="I995" i="1"/>
  <c r="I2841" i="1" s="1"/>
  <c r="AE994" i="1"/>
  <c r="I994" i="1"/>
  <c r="I2840" i="1" s="1"/>
  <c r="AE993" i="1"/>
  <c r="P993" i="1"/>
  <c r="R993" i="1" s="1"/>
  <c r="I993" i="1"/>
  <c r="I2839" i="1" s="1"/>
  <c r="AE992" i="1"/>
  <c r="I992" i="1"/>
  <c r="AE991" i="1"/>
  <c r="I991" i="1"/>
  <c r="I2837" i="1" s="1"/>
  <c r="AE990" i="1"/>
  <c r="I990" i="1"/>
  <c r="I2836" i="1" s="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K961" i="1"/>
  <c r="AE960" i="1"/>
  <c r="I960" i="1"/>
  <c r="AE959" i="1"/>
  <c r="I959" i="1"/>
  <c r="K959" i="1" s="1"/>
  <c r="AE958" i="1"/>
  <c r="I958" i="1"/>
  <c r="K958" i="1" s="1"/>
  <c r="AE957" i="1"/>
  <c r="I957" i="1"/>
  <c r="AE956" i="1"/>
  <c r="I956" i="1"/>
  <c r="AE955" i="1"/>
  <c r="I955" i="1"/>
  <c r="K955" i="1" s="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K901" i="1"/>
  <c r="H901" i="1"/>
  <c r="AE900" i="1"/>
  <c r="AE899" i="1"/>
  <c r="AE898" i="1"/>
  <c r="AE897" i="1"/>
  <c r="H897" i="1"/>
  <c r="AE896" i="1"/>
  <c r="AE895" i="1"/>
  <c r="AE894" i="1"/>
  <c r="AE893" i="1"/>
  <c r="AE892" i="1"/>
  <c r="AE891" i="1"/>
  <c r="AE890" i="1"/>
  <c r="AE889" i="1"/>
  <c r="AE888" i="1"/>
  <c r="AE887" i="1"/>
  <c r="AE886" i="1"/>
  <c r="AE885" i="1"/>
  <c r="V885" i="1"/>
  <c r="X885" i="1" s="1"/>
  <c r="K885" i="1"/>
  <c r="AE884" i="1"/>
  <c r="AE883" i="1"/>
  <c r="AE882" i="1"/>
  <c r="I882" i="1"/>
  <c r="K882" i="1" s="1"/>
  <c r="AE881" i="1"/>
  <c r="I881" i="1"/>
  <c r="I897" i="1" s="1"/>
  <c r="K897" i="1" s="1"/>
  <c r="AE880" i="1"/>
  <c r="I880" i="1"/>
  <c r="V880" i="1" s="1"/>
  <c r="V896" i="1" s="1"/>
  <c r="X896" i="1" s="1"/>
  <c r="AE879" i="1"/>
  <c r="I879" i="1"/>
  <c r="I895" i="1" s="1"/>
  <c r="K895" i="1" s="1"/>
  <c r="AE878" i="1"/>
  <c r="AE877" i="1"/>
  <c r="AE876" i="1"/>
  <c r="AE875" i="1"/>
  <c r="AE874" i="1"/>
  <c r="AE873" i="1"/>
  <c r="AE872" i="1"/>
  <c r="AE871" i="1"/>
  <c r="AE870" i="1"/>
  <c r="AE869" i="1"/>
  <c r="AE868" i="1"/>
  <c r="AE867" i="1"/>
  <c r="V867" i="1"/>
  <c r="X867" i="1" s="1"/>
  <c r="K867" i="1"/>
  <c r="AE866" i="1"/>
  <c r="AE865" i="1"/>
  <c r="AE864" i="1"/>
  <c r="V864" i="1"/>
  <c r="X864" i="1" s="1"/>
  <c r="K864" i="1"/>
  <c r="AE863" i="1"/>
  <c r="V863" i="1"/>
  <c r="X863" i="1" s="1"/>
  <c r="K863" i="1"/>
  <c r="AE862" i="1"/>
  <c r="V862" i="1"/>
  <c r="X862" i="1" s="1"/>
  <c r="P862" i="1"/>
  <c r="K862" i="1"/>
  <c r="AE861" i="1"/>
  <c r="V861" i="1"/>
  <c r="X861" i="1" s="1"/>
  <c r="K861" i="1"/>
  <c r="AE860" i="1"/>
  <c r="P860" i="1"/>
  <c r="R860" i="1" s="1"/>
  <c r="AE859" i="1"/>
  <c r="AE858" i="1"/>
  <c r="AE857" i="1"/>
  <c r="P857" i="1"/>
  <c r="R857" i="1" s="1"/>
  <c r="AE856" i="1"/>
  <c r="P856" i="1"/>
  <c r="R856" i="1" s="1"/>
  <c r="AE855" i="1"/>
  <c r="P855" i="1"/>
  <c r="R855" i="1" s="1"/>
  <c r="AE854" i="1"/>
  <c r="P854" i="1"/>
  <c r="R854" i="1" s="1"/>
  <c r="AE853" i="1"/>
  <c r="AE852" i="1"/>
  <c r="AE851" i="1"/>
  <c r="AE850" i="1"/>
  <c r="AE849" i="1"/>
  <c r="AE848" i="1"/>
  <c r="AE847" i="1"/>
  <c r="AE846" i="1"/>
  <c r="AE845" i="1"/>
  <c r="AE844" i="1"/>
  <c r="AE843" i="1"/>
  <c r="AE842" i="1"/>
  <c r="AE841" i="1"/>
  <c r="AE840" i="1"/>
  <c r="AE839" i="1"/>
  <c r="AE838" i="1"/>
  <c r="AE837" i="1"/>
  <c r="AE827" i="1"/>
  <c r="AE826" i="1"/>
  <c r="AE825" i="1"/>
  <c r="V825" i="1"/>
  <c r="AE824" i="1"/>
  <c r="V824" i="1"/>
  <c r="AE823" i="1"/>
  <c r="V823" i="1"/>
  <c r="AE822" i="1"/>
  <c r="AE821" i="1"/>
  <c r="AE820" i="1"/>
  <c r="AE819" i="1"/>
  <c r="W819" i="1"/>
  <c r="AE818" i="1"/>
  <c r="AE817" i="1"/>
  <c r="AE816" i="1"/>
  <c r="AE815" i="1"/>
  <c r="AE814" i="1"/>
  <c r="AE813" i="1"/>
  <c r="AE812" i="1"/>
  <c r="AE811" i="1"/>
  <c r="AE810" i="1"/>
  <c r="AE809" i="1"/>
  <c r="AE808" i="1"/>
  <c r="AE807" i="1"/>
  <c r="AE806" i="1"/>
  <c r="AE805" i="1"/>
  <c r="AE804" i="1"/>
  <c r="W804" i="1"/>
  <c r="AE803" i="1"/>
  <c r="AE802" i="1"/>
  <c r="AE801" i="1"/>
  <c r="AE800" i="1"/>
  <c r="AE799" i="1"/>
  <c r="AE798" i="1"/>
  <c r="AE797" i="1"/>
  <c r="AE796" i="1"/>
  <c r="AE795" i="1"/>
  <c r="AE794" i="1"/>
  <c r="AE793" i="1"/>
  <c r="AE792" i="1"/>
  <c r="P792" i="1"/>
  <c r="R792" i="1" s="1"/>
  <c r="AE791" i="1"/>
  <c r="AE790" i="1"/>
  <c r="AE789" i="1"/>
  <c r="K789" i="1"/>
  <c r="AE788" i="1"/>
  <c r="K788" i="1"/>
  <c r="AE787" i="1"/>
  <c r="I787" i="1"/>
  <c r="K787" i="1" s="1"/>
  <c r="AE786" i="1"/>
  <c r="AE785" i="1"/>
  <c r="AE784" i="1"/>
  <c r="A784" i="1"/>
  <c r="AE783" i="1"/>
  <c r="R783" i="1"/>
  <c r="I783" i="1"/>
  <c r="K783" i="1" s="1"/>
  <c r="AE782" i="1"/>
  <c r="AE781" i="1"/>
  <c r="AE780" i="1"/>
  <c r="AE779" i="1"/>
  <c r="AE778" i="1"/>
  <c r="AE777" i="1"/>
  <c r="AE776" i="1"/>
  <c r="AE775" i="1"/>
  <c r="R775" i="1"/>
  <c r="AE774" i="1"/>
  <c r="AE773" i="1"/>
  <c r="AE772" i="1"/>
  <c r="AE771" i="1"/>
  <c r="AE770" i="1"/>
  <c r="R770" i="1"/>
  <c r="AE769" i="1"/>
  <c r="AE768" i="1"/>
  <c r="AE767" i="1"/>
  <c r="AE766" i="1"/>
  <c r="K766" i="1"/>
  <c r="AE765" i="1"/>
  <c r="K765" i="1"/>
  <c r="AE764" i="1"/>
  <c r="AE763" i="1"/>
  <c r="AE762" i="1"/>
  <c r="AE761" i="1"/>
  <c r="K761" i="1"/>
  <c r="AE760" i="1"/>
  <c r="I760" i="1"/>
  <c r="K760" i="1" s="1"/>
  <c r="AE759" i="1"/>
  <c r="I759" i="1"/>
  <c r="K759" i="1" s="1"/>
  <c r="I780" i="1" s="1"/>
  <c r="K780" i="1" s="1"/>
  <c r="AE758" i="1"/>
  <c r="AE757" i="1"/>
  <c r="AE756" i="1"/>
  <c r="P756" i="1"/>
  <c r="R756" i="1" s="1"/>
  <c r="AE755" i="1"/>
  <c r="P755" i="1"/>
  <c r="R755" i="1" s="1"/>
  <c r="AE754" i="1"/>
  <c r="P754" i="1"/>
  <c r="R754" i="1" s="1"/>
  <c r="AE753" i="1"/>
  <c r="P753" i="1"/>
  <c r="R753" i="1" s="1"/>
  <c r="AE752" i="1"/>
  <c r="AE751" i="1"/>
  <c r="P751" i="1"/>
  <c r="R751" i="1" s="1"/>
  <c r="AE750" i="1"/>
  <c r="AE749" i="1"/>
  <c r="AE748" i="1"/>
  <c r="AE747" i="1"/>
  <c r="AE746" i="1"/>
  <c r="AE745" i="1"/>
  <c r="AE744" i="1"/>
  <c r="AE743" i="1"/>
  <c r="AE742" i="1"/>
  <c r="AE741" i="1"/>
  <c r="AE740" i="1"/>
  <c r="P740" i="1"/>
  <c r="R740" i="1" s="1"/>
  <c r="AE739" i="1"/>
  <c r="P739" i="1"/>
  <c r="R739" i="1" s="1"/>
  <c r="AE738" i="1"/>
  <c r="V738" i="1"/>
  <c r="P738" i="1"/>
  <c r="R738" i="1" s="1"/>
  <c r="AE737" i="1"/>
  <c r="V737" i="1"/>
  <c r="P737" i="1"/>
  <c r="R737" i="1" s="1"/>
  <c r="AE736" i="1"/>
  <c r="AE735" i="1"/>
  <c r="P735" i="1"/>
  <c r="R735" i="1" s="1"/>
  <c r="AE734" i="1"/>
  <c r="AE733" i="1"/>
  <c r="AE732" i="1"/>
  <c r="AE731" i="1"/>
  <c r="AE730" i="1"/>
  <c r="AE729" i="1"/>
  <c r="AE728" i="1"/>
  <c r="AE727" i="1"/>
  <c r="AE726" i="1"/>
  <c r="AE725" i="1"/>
  <c r="P725" i="1"/>
  <c r="R725" i="1" s="1"/>
  <c r="AE724" i="1"/>
  <c r="P724" i="1"/>
  <c r="R724" i="1" s="1"/>
  <c r="AE723" i="1"/>
  <c r="P723" i="1"/>
  <c r="R723" i="1" s="1"/>
  <c r="AE722" i="1"/>
  <c r="P722" i="1"/>
  <c r="R722" i="1" s="1"/>
  <c r="AE721" i="1"/>
  <c r="AE720" i="1"/>
  <c r="P720" i="1"/>
  <c r="R720" i="1" s="1"/>
  <c r="I720" i="1"/>
  <c r="K720" i="1" s="1"/>
  <c r="AE719" i="1"/>
  <c r="AE718" i="1"/>
  <c r="I718" i="1"/>
  <c r="K718" i="1" s="1"/>
  <c r="AE717" i="1"/>
  <c r="V717" i="1"/>
  <c r="I717" i="1"/>
  <c r="K717" i="1" s="1"/>
  <c r="K723" i="1" s="1"/>
  <c r="I725" i="1" s="1"/>
  <c r="K725" i="1" s="1"/>
  <c r="AE716" i="1"/>
  <c r="V716" i="1"/>
  <c r="D52" i="32" s="1"/>
  <c r="D115" i="32" s="1"/>
  <c r="AE715" i="1"/>
  <c r="AE714" i="1"/>
  <c r="V714" i="1"/>
  <c r="AE713" i="1"/>
  <c r="V713" i="1"/>
  <c r="D49" i="32" s="1"/>
  <c r="D112" i="32" s="1"/>
  <c r="AE712" i="1"/>
  <c r="AE711" i="1"/>
  <c r="AE710" i="1"/>
  <c r="W710" i="1"/>
  <c r="AE709" i="1"/>
  <c r="S709" i="1"/>
  <c r="P709" i="1"/>
  <c r="R709" i="1" s="1"/>
  <c r="R713" i="1" s="1"/>
  <c r="AE708" i="1"/>
  <c r="AE707" i="1"/>
  <c r="AE706" i="1"/>
  <c r="AE705" i="1"/>
  <c r="AE704" i="1"/>
  <c r="AE703" i="1"/>
  <c r="AE702" i="1"/>
  <c r="AE701" i="1"/>
  <c r="K701" i="1"/>
  <c r="AE700" i="1"/>
  <c r="I700" i="1"/>
  <c r="K700" i="1" s="1"/>
  <c r="AE699" i="1"/>
  <c r="I699" i="1"/>
  <c r="K699" i="1" s="1"/>
  <c r="AE698" i="1"/>
  <c r="P698" i="1"/>
  <c r="R698" i="1" s="1"/>
  <c r="R702" i="1" s="1"/>
  <c r="AE697" i="1"/>
  <c r="AE696" i="1"/>
  <c r="AE695" i="1"/>
  <c r="AE694" i="1"/>
  <c r="AE693" i="1"/>
  <c r="AE692" i="1"/>
  <c r="AF691" i="1"/>
  <c r="AE691" i="1"/>
  <c r="AE690" i="1"/>
  <c r="AF689" i="1"/>
  <c r="AE689" i="1"/>
  <c r="AE688" i="1"/>
  <c r="P688" i="1"/>
  <c r="R688" i="1" s="1"/>
  <c r="R692" i="1" s="1"/>
  <c r="AE687" i="1"/>
  <c r="AE686" i="1"/>
  <c r="AE685" i="1"/>
  <c r="AC685" i="1"/>
  <c r="AE684" i="1"/>
  <c r="AC684" i="1"/>
  <c r="AE683" i="1"/>
  <c r="AA683" i="1"/>
  <c r="AE682" i="1"/>
  <c r="K682" i="1"/>
  <c r="AE681" i="1"/>
  <c r="I681" i="1"/>
  <c r="K681" i="1" s="1"/>
  <c r="AE680" i="1"/>
  <c r="I680" i="1"/>
  <c r="K680" i="1" s="1"/>
  <c r="AE679" i="1"/>
  <c r="AE678" i="1"/>
  <c r="P678" i="1"/>
  <c r="R678" i="1" s="1"/>
  <c r="R682" i="1" s="1"/>
  <c r="AE677" i="1"/>
  <c r="AE676" i="1"/>
  <c r="AE675" i="1"/>
  <c r="AE674" i="1"/>
  <c r="AE673" i="1"/>
  <c r="P660" i="1"/>
  <c r="R660" i="1" s="1"/>
  <c r="P659" i="1"/>
  <c r="R659" i="1" s="1"/>
  <c r="P658" i="1"/>
  <c r="R658" i="1" s="1"/>
  <c r="C658" i="1"/>
  <c r="V648" i="1"/>
  <c r="V709" i="1" s="1"/>
  <c r="X709" i="1" s="1"/>
  <c r="Z709" i="1" s="1"/>
  <c r="P642" i="1"/>
  <c r="R642" i="1" s="1"/>
  <c r="AE637" i="1"/>
  <c r="AE636" i="1"/>
  <c r="AE635" i="1"/>
  <c r="AE634" i="1"/>
  <c r="AE633" i="1"/>
  <c r="AE632" i="1"/>
  <c r="AE631" i="1"/>
  <c r="AE630" i="1"/>
  <c r="AE629" i="1"/>
  <c r="P629" i="1"/>
  <c r="R629" i="1" s="1"/>
  <c r="AE628" i="1"/>
  <c r="AE627" i="1"/>
  <c r="AE626" i="1"/>
  <c r="AE625" i="1"/>
  <c r="AE624" i="1"/>
  <c r="AE623" i="1"/>
  <c r="AE622" i="1"/>
  <c r="AE621" i="1"/>
  <c r="AE620" i="1"/>
  <c r="AE619" i="1"/>
  <c r="I619" i="1"/>
  <c r="K619" i="1" s="1"/>
  <c r="AE618" i="1"/>
  <c r="AE617" i="1"/>
  <c r="AE616" i="1"/>
  <c r="AE615" i="1"/>
  <c r="C615" i="1"/>
  <c r="AE614" i="1"/>
  <c r="AE613" i="1"/>
  <c r="AE612" i="1"/>
  <c r="AE611" i="1"/>
  <c r="AE610" i="1"/>
  <c r="AE609" i="1"/>
  <c r="AE608" i="1"/>
  <c r="C608" i="1"/>
  <c r="I2426" i="1" s="1"/>
  <c r="P2433" i="1" s="1"/>
  <c r="AE607" i="1"/>
  <c r="AE606" i="1"/>
  <c r="AE605" i="1"/>
  <c r="AE604" i="1"/>
  <c r="I604" i="1"/>
  <c r="K604" i="1" s="1"/>
  <c r="AE603" i="1"/>
  <c r="AE602" i="1"/>
  <c r="E602" i="1"/>
  <c r="C602" i="1"/>
  <c r="I1269" i="1" s="1"/>
  <c r="AE601" i="1"/>
  <c r="I1248" i="1"/>
  <c r="AE600" i="1"/>
  <c r="AE599" i="1"/>
  <c r="AE598" i="1"/>
  <c r="AE597" i="1"/>
  <c r="AE596" i="1"/>
  <c r="AE595" i="1"/>
  <c r="AE594" i="1"/>
  <c r="AE593" i="1"/>
  <c r="AE592" i="1"/>
  <c r="AE591" i="1"/>
  <c r="AE590" i="1"/>
  <c r="AE589" i="1"/>
  <c r="AE588" i="1"/>
  <c r="AE587" i="1"/>
  <c r="AE586" i="1"/>
  <c r="AE585" i="1"/>
  <c r="V585" i="1"/>
  <c r="P585" i="1"/>
  <c r="R585" i="1" s="1"/>
  <c r="AE584" i="1"/>
  <c r="R584" i="1"/>
  <c r="AE583" i="1"/>
  <c r="R583" i="1"/>
  <c r="AE582" i="1"/>
  <c r="I582" i="1"/>
  <c r="K582" i="1" s="1"/>
  <c r="AE581" i="1"/>
  <c r="AE580" i="1"/>
  <c r="AE579" i="1"/>
  <c r="AE578" i="1"/>
  <c r="P578" i="1"/>
  <c r="R578" i="1" s="1"/>
  <c r="AE577" i="1"/>
  <c r="AE576" i="1"/>
  <c r="AE575" i="1"/>
  <c r="AE574" i="1"/>
  <c r="AE573" i="1"/>
  <c r="AE572" i="1"/>
  <c r="AC572" i="1"/>
  <c r="AB572" i="1"/>
  <c r="AC566" i="1"/>
  <c r="AJ566" i="1" s="1"/>
  <c r="AE564" i="1"/>
  <c r="AE563" i="1"/>
  <c r="AE562" i="1"/>
  <c r="M562" i="1"/>
  <c r="AE561" i="1"/>
  <c r="M561" i="1"/>
  <c r="AE560" i="1"/>
  <c r="M560" i="1"/>
  <c r="AE559" i="1"/>
  <c r="M559" i="1"/>
  <c r="AE558" i="1"/>
  <c r="AE557" i="1"/>
  <c r="AE556" i="1"/>
  <c r="AE555" i="1"/>
  <c r="V555" i="1"/>
  <c r="AE554" i="1"/>
  <c r="AE553" i="1"/>
  <c r="R553" i="1"/>
  <c r="E553" i="1"/>
  <c r="AE552" i="1"/>
  <c r="AE551" i="1"/>
  <c r="AE550" i="1"/>
  <c r="AE549" i="1"/>
  <c r="W549" i="1"/>
  <c r="AC549" i="1" s="1"/>
  <c r="AE548" i="1"/>
  <c r="W548" i="1"/>
  <c r="AC548" i="1" s="1"/>
  <c r="AJ548" i="1" s="1"/>
  <c r="P548" i="1"/>
  <c r="R548" i="1" s="1"/>
  <c r="AE539" i="1"/>
  <c r="P539" i="1"/>
  <c r="R539" i="1" s="1"/>
  <c r="AE538" i="1"/>
  <c r="AE537" i="1"/>
  <c r="P537" i="1"/>
  <c r="R537" i="1" s="1"/>
  <c r="AE536" i="1"/>
  <c r="AE535" i="1"/>
  <c r="AE534" i="1"/>
  <c r="AE533" i="1"/>
  <c r="AE532" i="1"/>
  <c r="AE531" i="1"/>
  <c r="AB531" i="1"/>
  <c r="AE530" i="1"/>
  <c r="AE529" i="1"/>
  <c r="AE528" i="1"/>
  <c r="AE527" i="1"/>
  <c r="AE526" i="1"/>
  <c r="AE525" i="1"/>
  <c r="R525" i="1"/>
  <c r="AE524" i="1"/>
  <c r="AE523" i="1"/>
  <c r="AE522" i="1"/>
  <c r="AE521" i="1"/>
  <c r="AE520" i="1"/>
  <c r="P520" i="1"/>
  <c r="R520" i="1" s="1"/>
  <c r="AE519" i="1"/>
  <c r="P519" i="1"/>
  <c r="R519" i="1" s="1"/>
  <c r="AE518" i="1"/>
  <c r="AE517" i="1"/>
  <c r="P517" i="1"/>
  <c r="R517" i="1" s="1"/>
  <c r="AE516" i="1"/>
  <c r="AE515" i="1"/>
  <c r="AE514" i="1"/>
  <c r="AE513" i="1"/>
  <c r="AE512" i="1"/>
  <c r="AE511" i="1"/>
  <c r="AE510" i="1"/>
  <c r="AE509" i="1"/>
  <c r="AE508" i="1"/>
  <c r="AE507" i="1"/>
  <c r="R507" i="1"/>
  <c r="AE506" i="1"/>
  <c r="AE505" i="1"/>
  <c r="AE504" i="1"/>
  <c r="AE503" i="1"/>
  <c r="AE502" i="1"/>
  <c r="P502" i="1"/>
  <c r="R502" i="1" s="1"/>
  <c r="AE501" i="1"/>
  <c r="P501" i="1"/>
  <c r="R501" i="1" s="1"/>
  <c r="AE500" i="1"/>
  <c r="AE499" i="1"/>
  <c r="P499" i="1"/>
  <c r="R499" i="1" s="1"/>
  <c r="AE498" i="1"/>
  <c r="AE497" i="1"/>
  <c r="AE496" i="1"/>
  <c r="AE495" i="1"/>
  <c r="AE494" i="1"/>
  <c r="AE493" i="1"/>
  <c r="AE492" i="1"/>
  <c r="I492" i="1"/>
  <c r="K492" i="1" s="1"/>
  <c r="AE491" i="1"/>
  <c r="AE490" i="1"/>
  <c r="AE489" i="1"/>
  <c r="AE488" i="1"/>
  <c r="AE487" i="1"/>
  <c r="AE486" i="1"/>
  <c r="AE485" i="1"/>
  <c r="AE484" i="1"/>
  <c r="P484" i="1"/>
  <c r="R484" i="1" s="1"/>
  <c r="AE483" i="1"/>
  <c r="P483" i="1"/>
  <c r="R483" i="1" s="1"/>
  <c r="AE482" i="1"/>
  <c r="P482" i="1"/>
  <c r="R482" i="1" s="1"/>
  <c r="AE481" i="1"/>
  <c r="AE480" i="1"/>
  <c r="AB480" i="1"/>
  <c r="AE479" i="1"/>
  <c r="AE471" i="1"/>
  <c r="AE470" i="1"/>
  <c r="P470" i="1"/>
  <c r="R470" i="1" s="1"/>
  <c r="AE469" i="1"/>
  <c r="AE468" i="1"/>
  <c r="AE467" i="1"/>
  <c r="AE466" i="1"/>
  <c r="AE465" i="1"/>
  <c r="AE464" i="1"/>
  <c r="P459" i="1"/>
  <c r="R459" i="1" s="1"/>
  <c r="P458" i="1"/>
  <c r="R458" i="1" s="1"/>
  <c r="P457" i="1"/>
  <c r="R457" i="1" s="1"/>
  <c r="P452" i="1"/>
  <c r="R452" i="1" s="1"/>
  <c r="P441" i="1"/>
  <c r="R441" i="1" s="1"/>
  <c r="P440" i="1"/>
  <c r="R440" i="1" s="1"/>
  <c r="P439" i="1"/>
  <c r="R439" i="1" s="1"/>
  <c r="R433" i="1"/>
  <c r="AB432" i="1"/>
  <c r="AB431" i="1"/>
  <c r="AB430" i="1"/>
  <c r="AB429" i="1"/>
  <c r="AB428" i="1"/>
  <c r="AB424" i="1"/>
  <c r="AD422" i="1"/>
  <c r="X416" i="1"/>
  <c r="F411" i="1"/>
  <c r="H410" i="1"/>
  <c r="F410" i="1"/>
  <c r="H408" i="1"/>
  <c r="AD388" i="1"/>
  <c r="AB388" i="1"/>
  <c r="AD386" i="1"/>
  <c r="H379" i="1"/>
  <c r="F379" i="1"/>
  <c r="H377" i="1"/>
  <c r="P367" i="1"/>
  <c r="R367" i="1" s="1"/>
  <c r="AD364" i="1"/>
  <c r="H355" i="1"/>
  <c r="X341" i="1"/>
  <c r="AB336" i="1"/>
  <c r="F336" i="1"/>
  <c r="AD335" i="1"/>
  <c r="AB335" i="1"/>
  <c r="H335" i="1"/>
  <c r="F335" i="1"/>
  <c r="AD333" i="1"/>
  <c r="AD362" i="1" s="1"/>
  <c r="H333" i="1"/>
  <c r="H353" i="1" s="1"/>
  <c r="AD311" i="1"/>
  <c r="AD424" i="1" s="1"/>
  <c r="H311" i="1"/>
  <c r="K257" i="1"/>
  <c r="I256" i="1"/>
  <c r="K256" i="1" s="1"/>
  <c r="K245" i="1"/>
  <c r="I241" i="1"/>
  <c r="K241" i="1" s="1"/>
  <c r="P219" i="1"/>
  <c r="R219" i="1" s="1"/>
  <c r="P218" i="1"/>
  <c r="R218" i="1" s="1"/>
  <c r="P217" i="1"/>
  <c r="R217" i="1" s="1"/>
  <c r="P216" i="1"/>
  <c r="R216" i="1" s="1"/>
  <c r="P215" i="1"/>
  <c r="R215" i="1" s="1"/>
  <c r="P214" i="1"/>
  <c r="R214" i="1" s="1"/>
  <c r="P212" i="1"/>
  <c r="R212" i="1" s="1"/>
  <c r="I186" i="1"/>
  <c r="K186" i="1" s="1"/>
  <c r="I185" i="1"/>
  <c r="K185" i="1" s="1"/>
  <c r="I157" i="1"/>
  <c r="K157" i="1" s="1"/>
  <c r="I155" i="1"/>
  <c r="K155" i="1" s="1"/>
  <c r="I153" i="1"/>
  <c r="K153" i="1" s="1"/>
  <c r="C143" i="1"/>
  <c r="I2328" i="1" s="1"/>
  <c r="K2328" i="1" s="1"/>
  <c r="C57" i="1"/>
  <c r="I1231" i="1" s="1"/>
  <c r="K1231" i="1" s="1"/>
  <c r="Y47" i="1"/>
  <c r="AF46" i="1"/>
  <c r="AE46" i="1" s="1"/>
  <c r="AF43" i="1"/>
  <c r="AE43" i="1" s="1"/>
  <c r="X42" i="1"/>
  <c r="Y34" i="1"/>
  <c r="W34" i="1"/>
  <c r="C34" i="1"/>
  <c r="D34" i="1" s="1"/>
  <c r="AC30" i="1"/>
  <c r="C137" i="1" s="1"/>
  <c r="I1218" i="1" s="1"/>
  <c r="K1218" i="1" s="1"/>
  <c r="W29" i="1"/>
  <c r="E29" i="1"/>
  <c r="E27" i="1"/>
  <c r="C28" i="1" s="1"/>
  <c r="I1233" i="1" s="1"/>
  <c r="K1233" i="1" s="1"/>
  <c r="AC22" i="1"/>
  <c r="C84" i="1" s="1"/>
  <c r="AC21" i="1"/>
  <c r="C83" i="1" s="1"/>
  <c r="I1375" i="1" s="1"/>
  <c r="K1375" i="1" s="1"/>
  <c r="W20" i="1"/>
  <c r="W19" i="1"/>
  <c r="Y17"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137" i="1" s="1"/>
  <c r="A138" i="1" s="1"/>
  <c r="A139" i="1" s="1"/>
  <c r="A140" i="1" s="1"/>
  <c r="A141" i="1" s="1"/>
  <c r="A142" i="1" s="1"/>
  <c r="A143" i="1" s="1"/>
  <c r="A145" i="1" s="1"/>
  <c r="A147" i="1" s="1"/>
  <c r="A148" i="1" s="1"/>
  <c r="A192" i="1" s="1"/>
  <c r="A193" i="1" s="1"/>
  <c r="A194" i="1" s="1"/>
  <c r="A195" i="1" s="1"/>
  <c r="A196" i="1" s="1"/>
  <c r="A197" i="1" s="1"/>
  <c r="A198" i="1" s="1"/>
  <c r="A199" i="1" s="1"/>
  <c r="A200" i="1" s="1"/>
  <c r="A201" i="1" s="1"/>
  <c r="A202" i="1" s="1"/>
  <c r="A203" i="1" s="1"/>
  <c r="A204" i="1" s="1"/>
  <c r="A205" i="1" s="1"/>
  <c r="A206" i="1" s="1"/>
  <c r="A265" i="1" s="1"/>
  <c r="A266" i="1" s="1"/>
  <c r="A267" i="1" s="1"/>
  <c r="A268" i="1" s="1"/>
  <c r="A269" i="1" s="1"/>
  <c r="A270" i="1" s="1"/>
  <c r="A271" i="1" s="1"/>
  <c r="A272" i="1" s="1"/>
  <c r="A273" i="1" s="1"/>
  <c r="A274" i="1" s="1"/>
  <c r="A275" i="1" s="1"/>
  <c r="A276" i="1" s="1"/>
  <c r="A277" i="1" s="1"/>
  <c r="A278" i="1" s="1"/>
  <c r="A279" i="1" s="1"/>
  <c r="A280"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3" i="1" s="1"/>
  <c r="A424" i="1" s="1"/>
  <c r="A425" i="1" s="1"/>
  <c r="A426" i="1" s="1"/>
  <c r="A427" i="1" s="1"/>
  <c r="A428" i="1" s="1"/>
  <c r="A429" i="1" s="1"/>
  <c r="A430" i="1" s="1"/>
  <c r="A431" i="1" s="1"/>
  <c r="A432" i="1" s="1"/>
  <c r="A433" i="1" s="1"/>
  <c r="A434" i="1" s="1"/>
  <c r="A435" i="1" s="1"/>
  <c r="A436" i="1" s="1"/>
  <c r="A437"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9" i="1" s="1"/>
  <c r="A480" i="1" s="1"/>
  <c r="A481" i="1" s="1"/>
  <c r="A482" i="1" s="1"/>
  <c r="A483" i="1" s="1"/>
  <c r="A484" i="1" s="1"/>
  <c r="A485" i="1" s="1"/>
  <c r="A486" i="1" s="1"/>
  <c r="A487" i="1" s="1"/>
  <c r="A488" i="1" s="1"/>
  <c r="A489" i="1" s="1"/>
  <c r="A490" i="1" s="1"/>
  <c r="A491" i="1" s="1"/>
  <c r="A492" i="1" s="1"/>
  <c r="A493" i="1" s="1"/>
  <c r="A494" i="1" s="1"/>
  <c r="A495" i="1" s="1"/>
  <c r="A496" i="1" s="1"/>
  <c r="A497"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W10" i="1"/>
  <c r="W11" i="1" s="1"/>
  <c r="W12" i="1" s="1"/>
  <c r="W13" i="1" s="1"/>
  <c r="W14" i="1" s="1"/>
  <c r="W15" i="1" s="1"/>
  <c r="W3" i="1"/>
  <c r="Q3" i="1"/>
  <c r="O3" i="1"/>
  <c r="J3" i="1"/>
  <c r="H3" i="1"/>
  <c r="AH246" i="11"/>
  <c r="AG243" i="11"/>
  <c r="AG241" i="11"/>
  <c r="AG240" i="11"/>
  <c r="AH10" i="1"/>
  <c r="AI10" i="1"/>
  <c r="AJ10" i="1"/>
  <c r="C11" i="1" s="1"/>
  <c r="I489" i="1" s="1"/>
  <c r="K489" i="1" s="1"/>
  <c r="AK10" i="1"/>
  <c r="AH11" i="1"/>
  <c r="AI11" i="1"/>
  <c r="AJ11" i="1"/>
  <c r="C12" i="1" s="1"/>
  <c r="AK11" i="1"/>
  <c r="AH12" i="1"/>
  <c r="AI12" i="1"/>
  <c r="AJ12" i="1"/>
  <c r="C13" i="1" s="1"/>
  <c r="AK12" i="1"/>
  <c r="AH13" i="1"/>
  <c r="AI13" i="1"/>
  <c r="AJ13" i="1"/>
  <c r="C14" i="1" s="1"/>
  <c r="I2775" i="1" s="1"/>
  <c r="AK13" i="1"/>
  <c r="AH14" i="1"/>
  <c r="AI14" i="1"/>
  <c r="AJ14" i="1"/>
  <c r="D14" i="1" s="1"/>
  <c r="I1564" i="1" s="1"/>
  <c r="AK14" i="1"/>
  <c r="AH15" i="1"/>
  <c r="AI15" i="1"/>
  <c r="AJ15" i="1"/>
  <c r="C15" i="1" s="1"/>
  <c r="I2409" i="1" s="1"/>
  <c r="K2409" i="1" s="1"/>
  <c r="AK15" i="1"/>
  <c r="AH16" i="1"/>
  <c r="AI16" i="1"/>
  <c r="AJ16" i="1"/>
  <c r="AK16" i="1"/>
  <c r="AH17" i="1"/>
  <c r="AI17" i="1"/>
  <c r="AJ17" i="1"/>
  <c r="C17" i="1" s="1"/>
  <c r="P2336" i="1" s="1"/>
  <c r="R2336" i="1" s="1"/>
  <c r="AK17" i="1"/>
  <c r="AH18" i="1"/>
  <c r="AI18" i="1"/>
  <c r="AJ18" i="1"/>
  <c r="C66" i="1" s="1"/>
  <c r="I764" i="1" s="1"/>
  <c r="K764" i="1" s="1"/>
  <c r="AK18" i="1"/>
  <c r="AH19" i="1"/>
  <c r="AI19" i="1"/>
  <c r="AJ19" i="1"/>
  <c r="C16" i="1" s="1"/>
  <c r="I762" i="1" s="1"/>
  <c r="K762" i="1" s="1"/>
  <c r="AK19" i="1"/>
  <c r="AH20" i="1"/>
  <c r="AI20" i="1"/>
  <c r="AJ20" i="1"/>
  <c r="D16" i="1" s="1"/>
  <c r="I1771" i="1" s="1"/>
  <c r="K1771" i="1" s="1"/>
  <c r="AK20" i="1"/>
  <c r="AH21" i="1"/>
  <c r="AI21" i="1"/>
  <c r="AJ21" i="1"/>
  <c r="I2697" i="1" s="1"/>
  <c r="K2697" i="1" s="1"/>
  <c r="AK21" i="1"/>
  <c r="AH22" i="1"/>
  <c r="AI22" i="1"/>
  <c r="AJ22" i="1"/>
  <c r="C41" i="1" s="1"/>
  <c r="I2737" i="1" s="1"/>
  <c r="K2737" i="1" s="1"/>
  <c r="AK22" i="1"/>
  <c r="AH23" i="1"/>
  <c r="AI23" i="1"/>
  <c r="AJ23" i="1"/>
  <c r="C29" i="1" s="1"/>
  <c r="I1234" i="1" s="1"/>
  <c r="K1234" i="1" s="1"/>
  <c r="AK23" i="1"/>
  <c r="AH24" i="1"/>
  <c r="AI24" i="1"/>
  <c r="AJ24" i="1"/>
  <c r="C18" i="1" s="1"/>
  <c r="I20" i="1" s="1"/>
  <c r="AK24" i="1"/>
  <c r="AH25" i="1"/>
  <c r="AI25" i="1"/>
  <c r="AJ25" i="1"/>
  <c r="C25" i="1" s="1"/>
  <c r="K515" i="1" s="1"/>
  <c r="AK25" i="1"/>
  <c r="AH26" i="1"/>
  <c r="AI26" i="1"/>
  <c r="AJ26" i="1"/>
  <c r="I3510" i="1" s="1"/>
  <c r="K3510" i="1" s="1"/>
  <c r="AK26" i="1"/>
  <c r="AH27" i="1"/>
  <c r="AI27" i="1"/>
  <c r="AJ27" i="1"/>
  <c r="C27" i="1" s="1"/>
  <c r="I141" i="1" s="1"/>
  <c r="AK27" i="1"/>
  <c r="AH28" i="1"/>
  <c r="AI28" i="1"/>
  <c r="AJ28" i="1"/>
  <c r="C26" i="1" s="1"/>
  <c r="I482" i="1" s="1"/>
  <c r="K482" i="1" s="1"/>
  <c r="C229" i="55" s="1"/>
  <c r="AK28" i="1"/>
  <c r="AH29" i="1"/>
  <c r="AI29" i="1"/>
  <c r="AJ29" i="1"/>
  <c r="C61" i="1" s="1"/>
  <c r="I1969" i="1" s="1"/>
  <c r="AK29" i="1"/>
  <c r="AH30" i="1"/>
  <c r="AI30" i="1"/>
  <c r="AJ30" i="1"/>
  <c r="C31" i="1" s="1"/>
  <c r="I989" i="1" s="1"/>
  <c r="K989" i="1" s="1"/>
  <c r="AK30" i="1"/>
  <c r="AH31" i="1"/>
  <c r="AI31" i="1"/>
  <c r="AJ31" i="1"/>
  <c r="D30" i="1" s="1"/>
  <c r="I2666" i="1" s="1"/>
  <c r="I3104" i="1" s="1"/>
  <c r="P2078" i="1" s="1"/>
  <c r="AK31" i="1"/>
  <c r="AH32" i="1"/>
  <c r="AI32" i="1"/>
  <c r="AJ32" i="1"/>
  <c r="V3116" i="1" s="1"/>
  <c r="I4065" i="1" s="1"/>
  <c r="K4065" i="1" s="1"/>
  <c r="AK32" i="1"/>
  <c r="AH33" i="1"/>
  <c r="AI33" i="1"/>
  <c r="AJ33" i="1"/>
  <c r="I2664" i="1" s="1"/>
  <c r="K2664" i="1" s="1"/>
  <c r="AK33" i="1"/>
  <c r="AH34" i="1"/>
  <c r="AI34" i="1"/>
  <c r="AJ34" i="1"/>
  <c r="I3625" i="1" s="1"/>
  <c r="K3625" i="1" s="1"/>
  <c r="AK34" i="1"/>
  <c r="AH35" i="1"/>
  <c r="AI35" i="1"/>
  <c r="AJ35" i="1"/>
  <c r="D33" i="1" s="1"/>
  <c r="I2249" i="1" s="1"/>
  <c r="K2249" i="1" s="1"/>
  <c r="AK35" i="1"/>
  <c r="AH36" i="1"/>
  <c r="AI36" i="1"/>
  <c r="AJ36" i="1"/>
  <c r="D61" i="1" s="1"/>
  <c r="I124" i="1" s="1"/>
  <c r="K124" i="1" s="1"/>
  <c r="K127" i="1" s="1"/>
  <c r="K129" i="1" s="1"/>
  <c r="AK36" i="1"/>
  <c r="AH37" i="1"/>
  <c r="AI37" i="1"/>
  <c r="AJ37" i="1"/>
  <c r="AK37" i="1"/>
  <c r="AH38" i="1"/>
  <c r="AI38" i="1"/>
  <c r="AJ38" i="1"/>
  <c r="AK38" i="1"/>
  <c r="AH39" i="1"/>
  <c r="AI39" i="1"/>
  <c r="AJ39" i="1"/>
  <c r="M94" i="1" s="1"/>
  <c r="M116" i="1" s="1"/>
  <c r="M133" i="1" s="1"/>
  <c r="AK39" i="1"/>
  <c r="AH40" i="1"/>
  <c r="AI40" i="1"/>
  <c r="AJ40" i="1"/>
  <c r="AK40" i="1"/>
  <c r="AH41" i="1"/>
  <c r="AI41" i="1"/>
  <c r="AJ41" i="1"/>
  <c r="C19" i="1" s="1"/>
  <c r="J686" i="1" s="1"/>
  <c r="AK41" i="1"/>
  <c r="AH42" i="1"/>
  <c r="AI42" i="1"/>
  <c r="AJ42" i="1"/>
  <c r="C20" i="1" s="1"/>
  <c r="W403" i="1" s="1"/>
  <c r="W404" i="1" s="1"/>
  <c r="AK42" i="1"/>
  <c r="AK43" i="1"/>
  <c r="AH44" i="1"/>
  <c r="AI44" i="1"/>
  <c r="AJ44" i="1"/>
  <c r="C22" i="1" s="1"/>
  <c r="AK44" i="1"/>
  <c r="AH45" i="1"/>
  <c r="AI45" i="1"/>
  <c r="AJ45" i="1"/>
  <c r="AK45" i="1"/>
  <c r="AH46" i="1"/>
  <c r="AI46" i="1"/>
  <c r="AH47" i="1"/>
  <c r="AI47" i="1"/>
  <c r="AJ47" i="1"/>
  <c r="AK47" i="1"/>
  <c r="AH48" i="1"/>
  <c r="AI48" i="1"/>
  <c r="AJ48" i="1"/>
  <c r="AK48" i="1"/>
  <c r="AH49" i="1"/>
  <c r="AI49" i="1"/>
  <c r="AJ49" i="1"/>
  <c r="C460" i="1" s="1"/>
  <c r="P1306" i="1" s="1"/>
  <c r="R1306" i="1" s="1"/>
  <c r="AK49" i="1"/>
  <c r="AH50" i="1"/>
  <c r="AI50" i="1"/>
  <c r="AJ50" i="1"/>
  <c r="AK50" i="1"/>
  <c r="AH51" i="1"/>
  <c r="AI51" i="1"/>
  <c r="AJ51" i="1"/>
  <c r="AK51" i="1"/>
  <c r="AH52" i="1"/>
  <c r="AI52" i="1"/>
  <c r="AJ52" i="1"/>
  <c r="AK52" i="1"/>
  <c r="AH53" i="1"/>
  <c r="AI53" i="1"/>
  <c r="AJ53" i="1"/>
  <c r="AK53" i="1"/>
  <c r="AH54" i="1"/>
  <c r="AI54" i="1"/>
  <c r="AJ54" i="1"/>
  <c r="AK54" i="1"/>
  <c r="AH55" i="1"/>
  <c r="AI55" i="1"/>
  <c r="AJ55" i="1"/>
  <c r="AK55" i="1"/>
  <c r="AH56" i="1"/>
  <c r="AI56" i="1"/>
  <c r="AJ56" i="1"/>
  <c r="I3256" i="1" s="1"/>
  <c r="K3256" i="1" s="1"/>
  <c r="AK56" i="1"/>
  <c r="AH57" i="1"/>
  <c r="AI57" i="1"/>
  <c r="AJ57" i="1"/>
  <c r="I3601" i="1" s="1"/>
  <c r="K3601" i="1" s="1"/>
  <c r="AK57" i="1"/>
  <c r="AH58" i="1"/>
  <c r="AI58" i="1"/>
  <c r="AJ58" i="1"/>
  <c r="AK58" i="1"/>
  <c r="AH59" i="1"/>
  <c r="AI59" i="1"/>
  <c r="AJ59" i="1"/>
  <c r="AK59" i="1"/>
  <c r="AH60" i="1"/>
  <c r="AI60" i="1"/>
  <c r="AJ60" i="1"/>
  <c r="C37" i="1" s="1"/>
  <c r="I2684" i="1" s="1"/>
  <c r="K2684" i="1" s="1"/>
  <c r="AK60" i="1"/>
  <c r="AH61" i="1"/>
  <c r="AI61" i="1"/>
  <c r="AJ61" i="1"/>
  <c r="AK61" i="1"/>
  <c r="AH62" i="1"/>
  <c r="AI62" i="1"/>
  <c r="AJ62" i="1"/>
  <c r="AK62" i="1"/>
  <c r="AH63" i="1"/>
  <c r="AI63" i="1"/>
  <c r="AJ63" i="1"/>
  <c r="AK63" i="1"/>
  <c r="AH64" i="1"/>
  <c r="AI64" i="1"/>
  <c r="AJ64" i="1"/>
  <c r="E26" i="50" s="1"/>
  <c r="AK64" i="1"/>
  <c r="AH65" i="1"/>
  <c r="AI65" i="1"/>
  <c r="AJ65" i="1"/>
  <c r="AK65"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H75"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K9" i="1"/>
  <c r="AJ9" i="1"/>
  <c r="D11" i="1" s="1"/>
  <c r="AI9" i="1"/>
  <c r="AH9" i="1"/>
  <c r="Q12" i="4"/>
  <c r="Z25" i="1" s="1"/>
  <c r="Q11" i="4"/>
  <c r="Z23" i="1" s="1"/>
  <c r="AC23" i="1" s="1"/>
  <c r="C85" i="1" s="1"/>
  <c r="D673" i="73" s="1"/>
  <c r="F673" i="73" s="1"/>
  <c r="Q10" i="4"/>
  <c r="Z19" i="1" s="1"/>
  <c r="Q3" i="4"/>
  <c r="N3" i="4"/>
  <c r="K3" i="4"/>
  <c r="K4" i="4" s="1"/>
  <c r="K5" i="4" s="1"/>
  <c r="K6" i="4" s="1"/>
  <c r="H3" i="4"/>
  <c r="H10" i="4" s="1"/>
  <c r="Z18" i="1" s="1"/>
  <c r="AC18" i="1" s="1"/>
  <c r="C80" i="1" s="1"/>
  <c r="E3" i="4"/>
  <c r="E4" i="4" s="1"/>
  <c r="E16" i="4" s="1"/>
  <c r="C3" i="4"/>
  <c r="C4" i="4" s="1"/>
  <c r="C5" i="4" s="1"/>
  <c r="C6" i="4" s="1"/>
  <c r="AQ196" i="1"/>
  <c r="AS196" i="1" s="1"/>
  <c r="X41" i="64"/>
  <c r="X28" i="64"/>
  <c r="W34" i="64"/>
  <c r="W33" i="64"/>
  <c r="W32" i="64"/>
  <c r="W31" i="64"/>
  <c r="W21" i="64"/>
  <c r="W20" i="64"/>
  <c r="W19" i="64"/>
  <c r="W18" i="64"/>
  <c r="C1426" i="55"/>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F40" i="25" s="1"/>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8" i="64" s="1"/>
  <c r="P40" i="64" s="1"/>
  <c r="P36" i="64"/>
  <c r="P33" i="64"/>
  <c r="P34" i="64" s="1"/>
  <c r="N29" i="64"/>
  <c r="P29" i="64" s="1"/>
  <c r="N28" i="64"/>
  <c r="P28" i="64" s="1"/>
  <c r="P19" i="64"/>
  <c r="P18" i="64"/>
  <c r="P17" i="64"/>
  <c r="P16" i="64"/>
  <c r="P7" i="64"/>
  <c r="P6" i="64"/>
  <c r="P5" i="64"/>
  <c r="P4" i="64"/>
  <c r="F480" i="64"/>
  <c r="F479" i="64"/>
  <c r="E478" i="64"/>
  <c r="D478" i="64"/>
  <c r="F478" i="64" s="1"/>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95" i="64"/>
  <c r="F294" i="64"/>
  <c r="F290" i="64"/>
  <c r="F289" i="64"/>
  <c r="F288" i="64"/>
  <c r="F284" i="64"/>
  <c r="F281" i="64"/>
  <c r="F280"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8" i="1"/>
  <c r="AQ3108" i="1"/>
  <c r="AS3108" i="1" s="1"/>
  <c r="AQ3107" i="1"/>
  <c r="AS3107" i="1" s="1"/>
  <c r="AH3107" i="1"/>
  <c r="C410" i="55"/>
  <c r="AK1188" i="1"/>
  <c r="AJ452" i="1"/>
  <c r="AS388" i="1"/>
  <c r="AU217" i="1"/>
  <c r="AV217" i="1" s="1"/>
  <c r="AU216" i="1"/>
  <c r="AV216" i="1" s="1"/>
  <c r="AU215" i="1"/>
  <c r="AV215" i="1" s="1"/>
  <c r="AU214" i="1"/>
  <c r="AV214" i="1" s="1"/>
  <c r="AU213" i="1"/>
  <c r="AV213" i="1" s="1"/>
  <c r="AU212" i="1"/>
  <c r="AV212" i="1" s="1"/>
  <c r="AU211" i="1"/>
  <c r="AV211" i="1" s="1"/>
  <c r="AU210" i="1"/>
  <c r="AV210" i="1" s="1"/>
  <c r="AU209" i="1"/>
  <c r="AV209" i="1" s="1"/>
  <c r="AU208" i="1"/>
  <c r="AV208" i="1" s="1"/>
  <c r="AU202" i="1"/>
  <c r="AV202" i="1" s="1"/>
  <c r="AU200" i="1"/>
  <c r="AV200" i="1" s="1"/>
  <c r="AU198" i="1"/>
  <c r="AV198" i="1" s="1"/>
  <c r="AU197" i="1"/>
  <c r="AV197" i="1" s="1"/>
  <c r="AU194" i="1"/>
  <c r="AV194" i="1" s="1"/>
  <c r="AU193" i="1"/>
  <c r="AV193" i="1" s="1"/>
  <c r="AU192" i="1"/>
  <c r="AV192" i="1" s="1"/>
  <c r="AU186" i="1"/>
  <c r="AV186" i="1" s="1"/>
  <c r="AU184" i="1"/>
  <c r="AV184" i="1" s="1"/>
  <c r="AU182" i="1"/>
  <c r="AV182" i="1" s="1"/>
  <c r="AU181" i="1"/>
  <c r="AV181" i="1" s="1"/>
  <c r="AU178" i="1"/>
  <c r="AV178" i="1" s="1"/>
  <c r="AU177" i="1"/>
  <c r="AV177" i="1" s="1"/>
  <c r="AU176" i="1"/>
  <c r="AV176" i="1" s="1"/>
  <c r="AU175" i="1"/>
  <c r="AV175" i="1" s="1"/>
  <c r="AU174" i="1"/>
  <c r="AV174" i="1" s="1"/>
  <c r="AU172" i="1"/>
  <c r="AV172" i="1" s="1"/>
  <c r="AU170" i="1"/>
  <c r="AV170" i="1" s="1"/>
  <c r="AU169" i="1"/>
  <c r="AV169" i="1" s="1"/>
  <c r="AN164" i="1"/>
  <c r="AP163" i="1"/>
  <c r="AN163" i="1"/>
  <c r="AU162" i="1"/>
  <c r="AV162" i="1" s="1"/>
  <c r="AU161" i="1"/>
  <c r="AV161" i="1" s="1"/>
  <c r="AP161" i="1"/>
  <c r="AU160" i="1"/>
  <c r="AV160" i="1" s="1"/>
  <c r="AU154" i="1"/>
  <c r="AV154" i="1" s="1"/>
  <c r="AU152" i="1"/>
  <c r="AV152" i="1" s="1"/>
  <c r="AU150" i="1"/>
  <c r="AV150" i="1" s="1"/>
  <c r="AU149" i="1"/>
  <c r="AV149" i="1" s="1"/>
  <c r="AU146" i="1"/>
  <c r="AV146" i="1" s="1"/>
  <c r="AU145" i="1"/>
  <c r="AV145" i="1" s="1"/>
  <c r="AU144" i="1"/>
  <c r="AV144" i="1" s="1"/>
  <c r="AU143" i="1"/>
  <c r="AV143" i="1" s="1"/>
  <c r="AU141" i="1"/>
  <c r="AV141" i="1" s="1"/>
  <c r="AU139" i="1"/>
  <c r="AV139" i="1" s="1"/>
  <c r="AU138" i="1"/>
  <c r="AV138" i="1" s="1"/>
  <c r="AP132" i="1"/>
  <c r="AN132" i="1"/>
  <c r="AP130" i="1"/>
  <c r="AH123" i="1"/>
  <c r="AH122" i="1"/>
  <c r="AH121" i="1"/>
  <c r="AH120" i="1"/>
  <c r="AH119" i="1"/>
  <c r="AU118" i="1"/>
  <c r="AV118" i="1" s="1"/>
  <c r="AH118" i="1"/>
  <c r="AH117" i="1"/>
  <c r="AU116" i="1"/>
  <c r="AV116" i="1" s="1"/>
  <c r="AH116" i="1"/>
  <c r="AH115" i="1"/>
  <c r="AU114" i="1"/>
  <c r="AV114" i="1" s="1"/>
  <c r="AH114" i="1"/>
  <c r="AU113" i="1"/>
  <c r="AV113" i="1" s="1"/>
  <c r="AH113" i="1"/>
  <c r="AH112" i="1"/>
  <c r="AH111" i="1"/>
  <c r="AH110" i="1"/>
  <c r="AH109" i="1"/>
  <c r="AH108" i="1"/>
  <c r="AP107" i="1"/>
  <c r="AH107" i="1"/>
  <c r="AH106" i="1"/>
  <c r="AH105" i="1"/>
  <c r="AH104" i="1"/>
  <c r="AH103" i="1"/>
  <c r="AH102" i="1"/>
  <c r="AH101" i="1"/>
  <c r="AH100" i="1"/>
  <c r="AH99" i="1"/>
  <c r="AN88" i="1"/>
  <c r="AP87" i="1"/>
  <c r="AN87" i="1"/>
  <c r="AP85" i="1"/>
  <c r="AP105" i="1" s="1"/>
  <c r="AP63" i="1"/>
  <c r="C1054" i="55"/>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C1415" i="55"/>
  <c r="C1138" i="55"/>
  <c r="C1134" i="55"/>
  <c r="C1133" i="55"/>
  <c r="C1060" i="55"/>
  <c r="C954" i="55"/>
  <c r="D5" i="25"/>
  <c r="F5" i="25" s="1"/>
  <c r="D6" i="25"/>
  <c r="F6" i="25" s="1"/>
  <c r="D7" i="25"/>
  <c r="F7" i="25" s="1"/>
  <c r="F8" i="25"/>
  <c r="F9" i="25"/>
  <c r="F10" i="25"/>
  <c r="F11" i="25"/>
  <c r="F12" i="25"/>
  <c r="F13" i="25"/>
  <c r="F14" i="25"/>
  <c r="F15" i="25"/>
  <c r="F27" i="25"/>
  <c r="F28" i="25"/>
  <c r="J36" i="25"/>
  <c r="J37" i="25"/>
  <c r="J38" i="25"/>
  <c r="J39"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F140" i="25"/>
  <c r="F163" i="25"/>
  <c r="E187" i="25"/>
  <c r="E188" i="25"/>
  <c r="D194" i="25"/>
  <c r="D195" i="25"/>
  <c r="D196" i="25"/>
  <c r="D198" i="25"/>
  <c r="G198" i="25"/>
  <c r="D199" i="25"/>
  <c r="A199" i="25" s="1"/>
  <c r="D200" i="25"/>
  <c r="A200" i="25" s="1"/>
  <c r="G200" i="25" s="1"/>
  <c r="G201" i="25"/>
  <c r="D203" i="25"/>
  <c r="D205" i="25" s="1"/>
  <c r="A203" i="25" s="1"/>
  <c r="G203" i="25" s="1"/>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I1895" i="27" s="1"/>
  <c r="K1895" i="27" s="1"/>
  <c r="P11" i="27"/>
  <c r="R11" i="27" s="1"/>
  <c r="X11" i="27"/>
  <c r="X12" i="27" s="1"/>
  <c r="X13" i="27" s="1"/>
  <c r="X14" i="27" s="1"/>
  <c r="X15" i="27" s="1"/>
  <c r="AK11" i="27"/>
  <c r="C12" i="27"/>
  <c r="P53" i="27" s="1"/>
  <c r="R53" i="27" s="1"/>
  <c r="W12" i="27"/>
  <c r="W36" i="27" s="1"/>
  <c r="AK12" i="27"/>
  <c r="C13" i="27"/>
  <c r="I274" i="27" s="1"/>
  <c r="K274" i="27" s="1"/>
  <c r="W13" i="27"/>
  <c r="W37" i="27" s="1"/>
  <c r="AK13" i="27"/>
  <c r="C14" i="27"/>
  <c r="I1479" i="27" s="1"/>
  <c r="K1479" i="27" s="1"/>
  <c r="D14" i="27"/>
  <c r="I1495" i="27" s="1"/>
  <c r="K1495" i="27" s="1"/>
  <c r="W14" i="27"/>
  <c r="AK14" i="27"/>
  <c r="C15" i="27"/>
  <c r="I2029" i="27" s="1"/>
  <c r="K2029" i="27" s="1"/>
  <c r="W15" i="27"/>
  <c r="AK15" i="27"/>
  <c r="C16" i="27"/>
  <c r="I2371" i="27" s="1"/>
  <c r="D16" i="27"/>
  <c r="X16" i="27"/>
  <c r="X17" i="27" s="1"/>
  <c r="Z16" i="27"/>
  <c r="AC16" i="27" s="1"/>
  <c r="I2683" i="27" s="1"/>
  <c r="K2683" i="27" s="1"/>
  <c r="AK16" i="27"/>
  <c r="C17" i="27"/>
  <c r="I1534" i="27" s="1"/>
  <c r="K1534" i="27" s="1"/>
  <c r="D17" i="27"/>
  <c r="AK17" i="27"/>
  <c r="C18" i="27"/>
  <c r="I65" i="27" s="1"/>
  <c r="K65" i="27" s="1"/>
  <c r="X18" i="27"/>
  <c r="X34" i="27" s="1"/>
  <c r="Z18" i="27"/>
  <c r="AC18" i="27" s="1"/>
  <c r="C80"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AK24" i="27"/>
  <c r="C25" i="27"/>
  <c r="I783" i="27" s="1"/>
  <c r="K783" i="27" s="1"/>
  <c r="AC25" i="27"/>
  <c r="C87" i="27" s="1"/>
  <c r="I2166" i="27" s="1"/>
  <c r="K2166" i="27" s="1"/>
  <c r="AK25" i="27"/>
  <c r="C26" i="27"/>
  <c r="I2069" i="27" s="1"/>
  <c r="K2069" i="27" s="1"/>
  <c r="AC26" i="27"/>
  <c r="C88" i="27" s="1"/>
  <c r="I1083" i="27" s="1"/>
  <c r="AK26" i="27"/>
  <c r="C27" i="27"/>
  <c r="I1688" i="27" s="1"/>
  <c r="K1688" i="27" s="1"/>
  <c r="AC27" i="27"/>
  <c r="C89" i="27" s="1"/>
  <c r="I1084" i="27" s="1"/>
  <c r="K1084" i="27" s="1"/>
  <c r="AK27" i="27"/>
  <c r="AC28" i="27"/>
  <c r="C90" i="27" s="1"/>
  <c r="I947" i="27" s="1"/>
  <c r="K947" i="27" s="1"/>
  <c r="AK28" i="27"/>
  <c r="C29" i="27"/>
  <c r="I1184" i="27" s="1"/>
  <c r="K1184" i="27" s="1"/>
  <c r="W29" i="27"/>
  <c r="AK29" i="27"/>
  <c r="C30" i="27"/>
  <c r="D30" i="27"/>
  <c r="AC30" i="27"/>
  <c r="C136" i="27" s="1"/>
  <c r="I1168" i="27" s="1"/>
  <c r="K1168" i="27" s="1"/>
  <c r="AK30" i="27"/>
  <c r="C31" i="27"/>
  <c r="D31" i="27"/>
  <c r="I1031" i="27" s="1"/>
  <c r="K1031" i="27" s="1"/>
  <c r="AK31" i="27"/>
  <c r="D32" i="27"/>
  <c r="I1061" i="27" s="1"/>
  <c r="K1061" i="27" s="1"/>
  <c r="AC32" i="27"/>
  <c r="I2694" i="27" s="1"/>
  <c r="K2694" i="27" s="1"/>
  <c r="AK32" i="27"/>
  <c r="D33" i="27"/>
  <c r="I2172" i="27" s="1"/>
  <c r="K2172" i="27" s="1"/>
  <c r="AC33" i="27"/>
  <c r="AK33" i="27"/>
  <c r="W34" i="27"/>
  <c r="Y34" i="27"/>
  <c r="AK34" i="27"/>
  <c r="W35" i="27"/>
  <c r="AK35" i="27"/>
  <c r="AK36" i="27"/>
  <c r="AC38" i="27"/>
  <c r="C140" i="27" s="1"/>
  <c r="D40" i="27"/>
  <c r="I1490" i="27" s="1"/>
  <c r="K1490" i="27" s="1"/>
  <c r="C41" i="27"/>
  <c r="I1775" i="27" s="1"/>
  <c r="K1775" i="27" s="1"/>
  <c r="C61" i="27"/>
  <c r="I2048" i="27" s="1"/>
  <c r="K2048" i="27" s="1"/>
  <c r="D61" i="27"/>
  <c r="C66" i="27"/>
  <c r="I727" i="27" s="1"/>
  <c r="K727" i="27" s="1"/>
  <c r="C67" i="27"/>
  <c r="I772" i="27" s="1"/>
  <c r="K772" i="27" s="1"/>
  <c r="P69" i="27"/>
  <c r="R69" i="27" s="1"/>
  <c r="I95" i="27"/>
  <c r="K95" i="27" s="1"/>
  <c r="I140" i="27"/>
  <c r="K140" i="27" s="1"/>
  <c r="C141" i="27"/>
  <c r="I152" i="27"/>
  <c r="K152" i="27" s="1"/>
  <c r="I154" i="27"/>
  <c r="K154" i="27" s="1"/>
  <c r="K156" i="27"/>
  <c r="I184" i="27"/>
  <c r="K184" i="27" s="1"/>
  <c r="K185" i="27"/>
  <c r="P211" i="27"/>
  <c r="R211" i="27" s="1"/>
  <c r="I213" i="27"/>
  <c r="K213" i="27" s="1"/>
  <c r="P213" i="27"/>
  <c r="R213" i="27" s="1"/>
  <c r="P214" i="27"/>
  <c r="R214" i="27" s="1"/>
  <c r="P215" i="27"/>
  <c r="R215" i="27" s="1"/>
  <c r="P216" i="27"/>
  <c r="R216" i="27" s="1"/>
  <c r="P217" i="27"/>
  <c r="R217" i="27" s="1"/>
  <c r="P218" i="27"/>
  <c r="R218" i="27" s="1"/>
  <c r="I240" i="27"/>
  <c r="K240" i="27" s="1"/>
  <c r="K244" i="27"/>
  <c r="K255" i="27"/>
  <c r="K256" i="27"/>
  <c r="I273" i="27"/>
  <c r="K273" i="27" s="1"/>
  <c r="H310" i="27"/>
  <c r="I315" i="27"/>
  <c r="K315" i="27" s="1"/>
  <c r="H332" i="27"/>
  <c r="F334" i="27"/>
  <c r="H334" i="27"/>
  <c r="F335" i="27"/>
  <c r="P337" i="27"/>
  <c r="R337" i="27" s="1"/>
  <c r="P350" i="27"/>
  <c r="R350" i="27" s="1"/>
  <c r="H352" i="27"/>
  <c r="F354" i="27"/>
  <c r="H354" i="27"/>
  <c r="F355" i="27"/>
  <c r="I358" i="27"/>
  <c r="K358" i="27" s="1"/>
  <c r="P366" i="27"/>
  <c r="R366" i="27" s="1"/>
  <c r="H376" i="27"/>
  <c r="F378" i="27"/>
  <c r="H378" i="27"/>
  <c r="H407" i="27"/>
  <c r="F409" i="27"/>
  <c r="H409" i="27"/>
  <c r="P432" i="27"/>
  <c r="R432" i="27" s="1"/>
  <c r="P438" i="27"/>
  <c r="R438" i="27" s="1"/>
  <c r="P439" i="27"/>
  <c r="R439" i="27" s="1"/>
  <c r="P440" i="27"/>
  <c r="R440" i="27" s="1"/>
  <c r="I447" i="27"/>
  <c r="K447" i="27" s="1"/>
  <c r="P450" i="27"/>
  <c r="R450" i="27" s="1"/>
  <c r="P451" i="27"/>
  <c r="R451" i="27" s="1"/>
  <c r="P456" i="27"/>
  <c r="R456" i="27" s="1"/>
  <c r="P457" i="27"/>
  <c r="R457" i="27" s="1"/>
  <c r="P458" i="27"/>
  <c r="R458" i="27" s="1"/>
  <c r="P469" i="27"/>
  <c r="R469" i="27" s="1"/>
  <c r="P474" i="27"/>
  <c r="R474" i="27" s="1"/>
  <c r="P475" i="27"/>
  <c r="R475" i="27" s="1"/>
  <c r="P476" i="27"/>
  <c r="R476" i="27" s="1"/>
  <c r="I484" i="27"/>
  <c r="K484" i="27" s="1"/>
  <c r="P491" i="27"/>
  <c r="R491" i="27" s="1"/>
  <c r="P493" i="27"/>
  <c r="R493" i="27" s="1"/>
  <c r="P494" i="27"/>
  <c r="R494" i="27" s="1"/>
  <c r="I499" i="27"/>
  <c r="K499" i="27" s="1"/>
  <c r="R499" i="27"/>
  <c r="I500" i="27"/>
  <c r="K500" i="27" s="1"/>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P535" i="27"/>
  <c r="R535" i="27" s="1"/>
  <c r="R537" i="27"/>
  <c r="J543" i="27"/>
  <c r="J544" i="27"/>
  <c r="J545" i="27"/>
  <c r="J546" i="27"/>
  <c r="J547" i="27"/>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K728" i="27"/>
  <c r="K729" i="27"/>
  <c r="R740" i="27"/>
  <c r="R745" i="27"/>
  <c r="I746" i="27"/>
  <c r="K746" i="27" s="1"/>
  <c r="I747" i="27"/>
  <c r="K747" i="27" s="1"/>
  <c r="K750" i="27"/>
  <c r="K751" i="27"/>
  <c r="K752" i="27"/>
  <c r="R753" i="27"/>
  <c r="A754" i="27"/>
  <c r="P762" i="27"/>
  <c r="R762" i="27" s="1"/>
  <c r="R769" i="27" s="1"/>
  <c r="R771"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H859" i="27"/>
  <c r="K859" i="27"/>
  <c r="R869" i="27"/>
  <c r="R870" i="27"/>
  <c r="R871" i="27"/>
  <c r="I915" i="27"/>
  <c r="K915" i="27"/>
  <c r="I916" i="27"/>
  <c r="K916" i="27" s="1"/>
  <c r="I917" i="27"/>
  <c r="K917" i="27" s="1"/>
  <c r="I918" i="27"/>
  <c r="K918" i="27" s="1"/>
  <c r="I919" i="27"/>
  <c r="K919" i="27" s="1"/>
  <c r="I920" i="27"/>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I1016" i="27"/>
  <c r="K1016" i="27" s="1"/>
  <c r="I1017" i="27"/>
  <c r="I1018" i="27"/>
  <c r="K1018" i="27" s="1"/>
  <c r="I1019" i="27"/>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s="1"/>
  <c r="I1064" i="27"/>
  <c r="K1064" i="27" s="1"/>
  <c r="I1085" i="27"/>
  <c r="K1086" i="27"/>
  <c r="K1088" i="27"/>
  <c r="I1089" i="27"/>
  <c r="K1089" i="27" s="1"/>
  <c r="K1090" i="27"/>
  <c r="K1091" i="27"/>
  <c r="I1101" i="27"/>
  <c r="K1101" i="27" s="1"/>
  <c r="I1102" i="27"/>
  <c r="K1102" i="27" s="1"/>
  <c r="I1114" i="27"/>
  <c r="K1114" i="27" s="1"/>
  <c r="I1115" i="27"/>
  <c r="K1115" i="27" s="1"/>
  <c r="I1131" i="27"/>
  <c r="K1131" i="27" s="1"/>
  <c r="K1132" i="27"/>
  <c r="K1133" i="27"/>
  <c r="I1146" i="27"/>
  <c r="K1146" i="27" s="1"/>
  <c r="I1181" i="27"/>
  <c r="K1181" i="27" s="1"/>
  <c r="I1182" i="27"/>
  <c r="K1182" i="27" s="1"/>
  <c r="I1183" i="27"/>
  <c r="K1183" i="27" s="1"/>
  <c r="I1198" i="27"/>
  <c r="K1198" i="27" s="1"/>
  <c r="I1204" i="27"/>
  <c r="K1204" i="27" s="1"/>
  <c r="I1206" i="27"/>
  <c r="K1206" i="27" s="1"/>
  <c r="I1209" i="27"/>
  <c r="K1209" i="27" s="1"/>
  <c r="I1219" i="27"/>
  <c r="K1219" i="27" s="1"/>
  <c r="I1220" i="27"/>
  <c r="K1220" i="27" s="1"/>
  <c r="I1257" i="27"/>
  <c r="K1257" i="27" s="1"/>
  <c r="I1271" i="27"/>
  <c r="K1271" i="27" s="1"/>
  <c r="I1288" i="27"/>
  <c r="K1288" i="27" s="1"/>
  <c r="I1307" i="27"/>
  <c r="K1307" i="27" s="1"/>
  <c r="I1310" i="27"/>
  <c r="K1310" i="27" s="1"/>
  <c r="I1352" i="27"/>
  <c r="K1352" i="27" s="1"/>
  <c r="I1368" i="27"/>
  <c r="K1368" i="27" s="1"/>
  <c r="I1436" i="27"/>
  <c r="K1436" i="27" s="1"/>
  <c r="K1448" i="27"/>
  <c r="I1450" i="27"/>
  <c r="K1450" i="27" s="1"/>
  <c r="I1463" i="27"/>
  <c r="K1463" i="27" s="1"/>
  <c r="I1465" i="27"/>
  <c r="K1465" i="27" s="1"/>
  <c r="I1478" i="27"/>
  <c r="K1478" i="27" s="1"/>
  <c r="K1493" i="27"/>
  <c r="I1494" i="27"/>
  <c r="K1494" i="27" s="1"/>
  <c r="I1505" i="27"/>
  <c r="K1505" i="27" s="1"/>
  <c r="O1506" i="27"/>
  <c r="O1507" i="27"/>
  <c r="I1508" i="27"/>
  <c r="K1508" i="27" s="1"/>
  <c r="K1509" i="27"/>
  <c r="I1518" i="27"/>
  <c r="K1518"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K1652" i="27"/>
  <c r="K1653" i="27"/>
  <c r="K1654" i="27"/>
  <c r="K1682" i="27"/>
  <c r="K1685" i="27"/>
  <c r="K1686" i="27"/>
  <c r="K1687" i="27"/>
  <c r="K1699" i="27"/>
  <c r="K1700" i="27"/>
  <c r="K1701" i="27"/>
  <c r="K1713" i="27"/>
  <c r="K1714" i="27"/>
  <c r="I1715" i="27"/>
  <c r="K1715" i="27" s="1"/>
  <c r="K1716" i="27"/>
  <c r="K1717" i="27"/>
  <c r="K1724" i="27"/>
  <c r="K1727" i="27"/>
  <c r="I1735" i="27"/>
  <c r="K1735" i="27" s="1"/>
  <c r="I1737" i="27"/>
  <c r="I1738" i="27"/>
  <c r="K1738" i="27" s="1"/>
  <c r="I1739" i="27"/>
  <c r="K1739" i="27" s="1"/>
  <c r="I1742" i="27"/>
  <c r="K1742" i="27" s="1"/>
  <c r="I1753" i="27"/>
  <c r="K1753" i="27" s="1"/>
  <c r="I1755" i="27"/>
  <c r="K1755" i="27" s="1"/>
  <c r="I1756" i="27"/>
  <c r="K1756" i="27" s="1"/>
  <c r="I1758" i="27"/>
  <c r="K1758" i="27" s="1"/>
  <c r="I1771" i="27"/>
  <c r="K1771" i="27" s="1"/>
  <c r="I1773" i="27"/>
  <c r="K1773" i="27" s="1"/>
  <c r="I1774" i="27"/>
  <c r="K1774" i="27" s="1"/>
  <c r="I1801" i="27"/>
  <c r="I1809" i="27"/>
  <c r="I1817" i="27"/>
  <c r="I1829" i="27"/>
  <c r="K1829" i="27" s="1"/>
  <c r="I1844" i="27"/>
  <c r="K1844" i="27" s="1"/>
  <c r="I1858" i="27"/>
  <c r="K1858" i="27" s="1"/>
  <c r="I1890" i="27"/>
  <c r="K1890" i="27" s="1"/>
  <c r="I1896" i="27"/>
  <c r="K1896" i="27" s="1"/>
  <c r="I1908" i="27"/>
  <c r="K1908" i="27" s="1"/>
  <c r="I1916" i="27"/>
  <c r="K1916" i="27" s="1"/>
  <c r="I1928" i="27"/>
  <c r="K1928" i="27" s="1"/>
  <c r="I1947" i="27"/>
  <c r="K1947" i="27" s="1"/>
  <c r="I1972" i="27"/>
  <c r="K1972" i="27" s="1"/>
  <c r="I1973" i="27"/>
  <c r="K1973" i="27" s="1"/>
  <c r="I1974" i="27"/>
  <c r="K1974" i="27" s="1"/>
  <c r="I1975" i="27"/>
  <c r="K1975" i="27" s="1"/>
  <c r="I1996" i="27"/>
  <c r="K1996" i="27" s="1"/>
  <c r="I1997" i="27"/>
  <c r="K1997" i="27" s="1"/>
  <c r="I1998" i="27"/>
  <c r="K1998" i="27" s="1"/>
  <c r="I1999" i="27"/>
  <c r="K1999" i="27" s="1"/>
  <c r="K2016" i="27"/>
  <c r="K2017" i="27"/>
  <c r="K2018" i="27"/>
  <c r="I2027" i="27"/>
  <c r="K2027" i="27" s="1"/>
  <c r="I2031" i="27"/>
  <c r="K2031" i="27" s="1"/>
  <c r="I2039" i="27"/>
  <c r="K2039" i="27" s="1"/>
  <c r="K2042" i="27" s="1"/>
  <c r="I2047" i="27"/>
  <c r="K2047" i="27" s="1"/>
  <c r="I2052" i="27"/>
  <c r="K2052" i="27" s="1"/>
  <c r="I2054" i="27"/>
  <c r="K2054" i="27" s="1"/>
  <c r="I2055" i="27"/>
  <c r="K2055" i="27" s="1"/>
  <c r="I2067" i="27"/>
  <c r="K2067"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K2557" i="27"/>
  <c r="I2559" i="27"/>
  <c r="I2561" i="27"/>
  <c r="I2592" i="27" s="1"/>
  <c r="K2592"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K2798" i="27"/>
  <c r="K2799" i="27"/>
  <c r="K2807" i="27"/>
  <c r="K2808" i="27"/>
  <c r="K2815" i="27"/>
  <c r="K2816" i="27"/>
  <c r="K2817" i="27"/>
  <c r="K2818" i="27"/>
  <c r="K2825" i="27"/>
  <c r="K2826" i="27"/>
  <c r="K2827" i="27"/>
  <c r="I2843" i="27"/>
  <c r="I2844" i="27"/>
  <c r="I3796" i="27" s="1"/>
  <c r="I2845" i="27"/>
  <c r="I2997" i="27" s="1"/>
  <c r="K2997" i="27" s="1"/>
  <c r="K2847" i="27"/>
  <c r="R2848" i="27"/>
  <c r="I2849" i="27"/>
  <c r="I2956" i="27" s="1"/>
  <c r="I2851" i="27"/>
  <c r="I3002" i="27" s="1"/>
  <c r="K3002" i="27" s="1"/>
  <c r="K3019" i="27" s="1"/>
  <c r="I2854" i="27"/>
  <c r="R2855" i="27"/>
  <c r="R2856" i="27"/>
  <c r="L2860" i="27"/>
  <c r="R2860" i="27"/>
  <c r="T2863" i="27"/>
  <c r="I2866" i="27"/>
  <c r="I3824" i="27" s="1"/>
  <c r="K3824" i="27" s="1"/>
  <c r="I2867" i="27"/>
  <c r="I2868" i="27"/>
  <c r="I3248" i="27" s="1"/>
  <c r="I2869" i="27"/>
  <c r="I3506" i="27" s="1"/>
  <c r="I3625" i="27" s="1"/>
  <c r="I2870" i="27"/>
  <c r="I2871" i="27"/>
  <c r="K2871" i="27" s="1"/>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I3910" i="27" s="1"/>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3" i="27"/>
  <c r="K3313" i="27" s="1"/>
  <c r="I3314" i="27"/>
  <c r="K3314" i="27" s="1"/>
  <c r="I3315" i="27"/>
  <c r="K3315" i="27" s="1"/>
  <c r="I3316" i="27"/>
  <c r="K3316" i="27" s="1"/>
  <c r="K3331" i="27"/>
  <c r="K3345" i="27"/>
  <c r="H3354" i="27"/>
  <c r="I3354" i="27"/>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I3465" i="27" s="1"/>
  <c r="K3465" i="27" s="1"/>
  <c r="H3464" i="27"/>
  <c r="H3465" i="27"/>
  <c r="I3478" i="27"/>
  <c r="K3478" i="27" s="1"/>
  <c r="K3480" i="27"/>
  <c r="K3495" i="27"/>
  <c r="P3495" i="27"/>
  <c r="R3495" i="27" s="1"/>
  <c r="I3496" i="27"/>
  <c r="P3496" i="27" s="1"/>
  <c r="R3496" i="27" s="1"/>
  <c r="I3497" i="27"/>
  <c r="R3501" i="27"/>
  <c r="K3513" i="27"/>
  <c r="K3514" i="27"/>
  <c r="K3521" i="27"/>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7" i="27"/>
  <c r="K3873" i="27" s="1"/>
  <c r="K3808" i="27"/>
  <c r="K3811" i="27"/>
  <c r="K3813" i="27"/>
  <c r="K3838" i="27"/>
  <c r="K3852" i="27"/>
  <c r="N3852" i="27"/>
  <c r="K3853" i="27"/>
  <c r="K3854" i="27"/>
  <c r="N3856" i="27"/>
  <c r="K3875" i="27"/>
  <c r="K3876" i="27"/>
  <c r="K3890" i="27"/>
  <c r="I3893" i="27"/>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96" i="32" s="1"/>
  <c r="G131" i="32"/>
  <c r="A133" i="32" s="1"/>
  <c r="A134" i="32" s="1"/>
  <c r="F134" i="32" s="1"/>
  <c r="F135" i="32"/>
  <c r="F139" i="32"/>
  <c r="G146" i="32"/>
  <c r="A148" i="32" s="1"/>
  <c r="A149" i="32" s="1"/>
  <c r="A150" i="32" s="1"/>
  <c r="E148" i="32"/>
  <c r="C62" i="55"/>
  <c r="C292" i="55"/>
  <c r="C307" i="55"/>
  <c r="C322" i="55"/>
  <c r="C381" i="55"/>
  <c r="C382" i="55"/>
  <c r="C383" i="55"/>
  <c r="C384" i="55"/>
  <c r="C426" i="55"/>
  <c r="C427" i="55"/>
  <c r="C429" i="55"/>
  <c r="C495" i="55"/>
  <c r="C632" i="55"/>
  <c r="C639" i="55"/>
  <c r="C676" i="55"/>
  <c r="C678" i="55"/>
  <c r="C704" i="55"/>
  <c r="C705" i="55"/>
  <c r="C706" i="55"/>
  <c r="C712" i="55"/>
  <c r="B723" i="55"/>
  <c r="B728" i="55"/>
  <c r="B729" i="55"/>
  <c r="A749" i="55"/>
  <c r="B836" i="55"/>
  <c r="D939" i="55"/>
  <c r="C1433" i="55"/>
  <c r="B1434" i="55"/>
  <c r="C1479" i="55"/>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C1478" i="55"/>
  <c r="C1476" i="55"/>
  <c r="K132" i="27"/>
  <c r="K133" i="27" s="1"/>
  <c r="I1831" i="27"/>
  <c r="K1831" i="27" s="1"/>
  <c r="P24" i="27"/>
  <c r="R24" i="27" s="1"/>
  <c r="I11" i="27"/>
  <c r="K11" i="27" s="1"/>
  <c r="I74" i="27"/>
  <c r="K74" i="27" s="1"/>
  <c r="I55" i="27"/>
  <c r="K55" i="27" s="1"/>
  <c r="I37" i="27"/>
  <c r="K37" i="27" s="1"/>
  <c r="I29" i="27"/>
  <c r="K29" i="27" s="1"/>
  <c r="I20" i="27"/>
  <c r="K20" i="27" s="1"/>
  <c r="I155" i="27"/>
  <c r="K155" i="27" s="1"/>
  <c r="I40" i="25"/>
  <c r="D305" i="25"/>
  <c r="F305" i="25" s="1"/>
  <c r="C1449" i="55"/>
  <c r="C1474" i="55"/>
  <c r="D554" i="25"/>
  <c r="F554" i="25" s="1"/>
  <c r="C1473" i="55"/>
  <c r="C1477" i="55"/>
  <c r="C1475" i="55"/>
  <c r="C1485" i="55"/>
  <c r="C1481" i="55"/>
  <c r="C1486" i="55"/>
  <c r="C1487" i="55"/>
  <c r="C1482" i="55"/>
  <c r="C841" i="55"/>
  <c r="C843" i="55"/>
  <c r="C926" i="55"/>
  <c r="I42" i="25"/>
  <c r="C772" i="55"/>
  <c r="C776" i="55"/>
  <c r="C778" i="55"/>
  <c r="C777" i="55"/>
  <c r="P2851" i="27"/>
  <c r="P2884" i="27" s="1"/>
  <c r="R2884" i="27" s="1"/>
  <c r="I2846" i="27"/>
  <c r="P2850" i="27" s="1"/>
  <c r="R2850" i="27" s="1"/>
  <c r="I3922" i="27"/>
  <c r="K3922" i="27" s="1"/>
  <c r="K3455" i="27"/>
  <c r="C1484" i="55"/>
  <c r="C1438" i="55"/>
  <c r="C1436" i="55"/>
  <c r="C1445" i="55"/>
  <c r="C1444" i="55"/>
  <c r="C1443" i="55"/>
  <c r="C552" i="55"/>
  <c r="I3139" i="27"/>
  <c r="K3139" i="27" s="1"/>
  <c r="I2974" i="27"/>
  <c r="K2974" i="27" s="1"/>
  <c r="I3352" i="27"/>
  <c r="K3352" i="27" s="1"/>
  <c r="I2910" i="27"/>
  <c r="I2936" i="27" s="1"/>
  <c r="I3505" i="27"/>
  <c r="I3624" i="27" s="1"/>
  <c r="I2760" i="27"/>
  <c r="K2760" i="27" s="1"/>
  <c r="I3353" i="27"/>
  <c r="I3407" i="27" s="1"/>
  <c r="I3140" i="27"/>
  <c r="K3140" i="27" s="1"/>
  <c r="K2869" i="27"/>
  <c r="K3506" i="27"/>
  <c r="I3685" i="27"/>
  <c r="K3685" i="27" s="1"/>
  <c r="I3803" i="27"/>
  <c r="K2851" i="27"/>
  <c r="K2880" i="27" s="1"/>
  <c r="K2891" i="27" s="1"/>
  <c r="I3933" i="27"/>
  <c r="K3933" i="27" s="1"/>
  <c r="I2872" i="27"/>
  <c r="K2872" i="27" s="1"/>
  <c r="I3351" i="27"/>
  <c r="K3351" i="27" s="1"/>
  <c r="I2905" i="27"/>
  <c r="K2905" i="27" s="1"/>
  <c r="I2856" i="27"/>
  <c r="P2846" i="27" s="1"/>
  <c r="R2846" i="27" s="1"/>
  <c r="I2758" i="27"/>
  <c r="K2758" i="27" s="1"/>
  <c r="I2855" i="27"/>
  <c r="I3778" i="27"/>
  <c r="K3778" i="27" s="1"/>
  <c r="I3643" i="27"/>
  <c r="K3643" i="27" s="1"/>
  <c r="I3590" i="27"/>
  <c r="K3590" i="27" s="1"/>
  <c r="I3504" i="27"/>
  <c r="K2867" i="27"/>
  <c r="P2849" i="27"/>
  <c r="P2882" i="27" s="1"/>
  <c r="R2882" i="27" s="1"/>
  <c r="I2907" i="27"/>
  <c r="I3030" i="27" s="1"/>
  <c r="K3030" i="27" s="1"/>
  <c r="I2917" i="27"/>
  <c r="K2917" i="27" s="1"/>
  <c r="K2843" i="27"/>
  <c r="I3572" i="27"/>
  <c r="K3572" i="27" s="1"/>
  <c r="K2881" i="27"/>
  <c r="I38" i="25"/>
  <c r="D53" i="32"/>
  <c r="D116" i="32" s="1"/>
  <c r="D585" i="25"/>
  <c r="D620" i="25" s="1"/>
  <c r="D656" i="25" s="1"/>
  <c r="F656" i="25" s="1"/>
  <c r="F190" i="32"/>
  <c r="A174" i="32"/>
  <c r="F174" i="32" s="1"/>
  <c r="F188" i="32"/>
  <c r="E149" i="32"/>
  <c r="F64" i="64"/>
  <c r="F538" i="64"/>
  <c r="F602" i="64"/>
  <c r="F515" i="64"/>
  <c r="D579" i="64"/>
  <c r="F579" i="64" s="1"/>
  <c r="F506" i="64"/>
  <c r="D570" i="64"/>
  <c r="D645" i="64" s="1"/>
  <c r="F529" i="64"/>
  <c r="D591" i="64"/>
  <c r="F542" i="64"/>
  <c r="F605" i="64"/>
  <c r="D599" i="64"/>
  <c r="F599" i="64" s="1"/>
  <c r="F543" i="64"/>
  <c r="D531" i="64"/>
  <c r="F531" i="64" s="1"/>
  <c r="D107" i="64"/>
  <c r="F107" i="64" s="1"/>
  <c r="D374" i="64"/>
  <c r="D375" i="64" s="1"/>
  <c r="D376" i="64" s="1"/>
  <c r="D377" i="64" s="1"/>
  <c r="F65" i="64"/>
  <c r="D221" i="64"/>
  <c r="F134" i="64"/>
  <c r="D437" i="64"/>
  <c r="D438" i="64" s="1"/>
  <c r="D439" i="64" s="1"/>
  <c r="D440" i="64" s="1"/>
  <c r="D143" i="64"/>
  <c r="F537" i="64"/>
  <c r="F70" i="64"/>
  <c r="F593" i="64"/>
  <c r="D223" i="64"/>
  <c r="F223" i="64" s="1"/>
  <c r="D123" i="64"/>
  <c r="D203" i="64" s="1"/>
  <c r="E209" i="25"/>
  <c r="G209" i="25" s="1"/>
  <c r="F585" i="25"/>
  <c r="D591" i="25"/>
  <c r="F591" i="25" s="1"/>
  <c r="D547" i="25"/>
  <c r="D23" i="25"/>
  <c r="D36" i="25" s="1"/>
  <c r="D219" i="64"/>
  <c r="D279" i="64" s="1"/>
  <c r="Z17" i="27"/>
  <c r="AC17" i="27" s="1"/>
  <c r="F60" i="64"/>
  <c r="X29" i="27"/>
  <c r="D48" i="25"/>
  <c r="F48" i="25" s="1"/>
  <c r="A255" i="32"/>
  <c r="F255" i="32" s="1"/>
  <c r="A270" i="32"/>
  <c r="A271" i="32" s="1"/>
  <c r="C1131" i="55"/>
  <c r="D49" i="25"/>
  <c r="D72" i="25" s="1"/>
  <c r="E199" i="25"/>
  <c r="G199" i="25" s="1"/>
  <c r="E207" i="25"/>
  <c r="D50" i="25"/>
  <c r="F50" i="25" s="1"/>
  <c r="F25" i="25"/>
  <c r="D222" i="64"/>
  <c r="F222" i="64" s="1"/>
  <c r="D144" i="64"/>
  <c r="E833" i="64" s="1"/>
  <c r="AP35" i="64"/>
  <c r="AR35" i="64" s="1"/>
  <c r="D150" i="64"/>
  <c r="AP38" i="64"/>
  <c r="AR38" i="64" s="1"/>
  <c r="AP42" i="64"/>
  <c r="AR42" i="64" s="1"/>
  <c r="F66" i="64"/>
  <c r="AC19" i="27"/>
  <c r="C81" i="27" s="1"/>
  <c r="P50" i="27" s="1"/>
  <c r="R50" i="27" s="1"/>
  <c r="R57" i="27" s="1"/>
  <c r="R60" i="27" s="1"/>
  <c r="Z29" i="27"/>
  <c r="Z34" i="27" s="1"/>
  <c r="AC34" i="27" s="1"/>
  <c r="C77" i="27" s="1"/>
  <c r="I443" i="27" s="1"/>
  <c r="K443" i="27" s="1"/>
  <c r="K451" i="27" s="1"/>
  <c r="K453" i="27" s="1"/>
  <c r="I458" i="27" s="1"/>
  <c r="K458" i="27" s="1"/>
  <c r="K462" i="27" s="1"/>
  <c r="K464" i="27" s="1"/>
  <c r="K466" i="27" s="1"/>
  <c r="K467" i="27" s="1"/>
  <c r="K468" i="27" s="1"/>
  <c r="K469" i="27" s="1"/>
  <c r="K470" i="27" s="1"/>
  <c r="C78" i="27"/>
  <c r="I10" i="27" s="1"/>
  <c r="K10" i="27" s="1"/>
  <c r="C695" i="55"/>
  <c r="K2856" i="27"/>
  <c r="AU196" i="1"/>
  <c r="AV196" i="1" s="1"/>
  <c r="I974" i="27"/>
  <c r="K974" i="27" s="1"/>
  <c r="I1011" i="27"/>
  <c r="K1011" i="27" s="1"/>
  <c r="E210" i="25"/>
  <c r="G210" i="25" s="1"/>
  <c r="AP23" i="64"/>
  <c r="AR23" i="64" s="1"/>
  <c r="A10" i="50"/>
  <c r="F10" i="50" s="1"/>
  <c r="W45" i="1"/>
  <c r="W42" i="1"/>
  <c r="AC1197" i="1"/>
  <c r="S1182" i="1"/>
  <c r="S1158" i="1"/>
  <c r="J628" i="1"/>
  <c r="J612" i="1"/>
  <c r="V590" i="1" s="1"/>
  <c r="J559" i="1"/>
  <c r="W561" i="1" s="1"/>
  <c r="AC561" i="1" s="1"/>
  <c r="AJ561" i="1" s="1"/>
  <c r="J535" i="1"/>
  <c r="W537" i="1" s="1"/>
  <c r="AC537" i="1" s="1"/>
  <c r="AJ537" i="1" s="1"/>
  <c r="J659" i="1"/>
  <c r="W486" i="1" s="1"/>
  <c r="AC486" i="1" s="1"/>
  <c r="J590" i="1"/>
  <c r="I1577" i="1"/>
  <c r="K1577" i="1" s="1"/>
  <c r="I1910" i="1"/>
  <c r="K1910" i="1" s="1"/>
  <c r="P503" i="1"/>
  <c r="R503" i="1" s="1"/>
  <c r="M95" i="1"/>
  <c r="M101" i="1" s="1"/>
  <c r="A535" i="1"/>
  <c r="A536" i="1" s="1"/>
  <c r="A537" i="1" s="1"/>
  <c r="A538" i="1" s="1"/>
  <c r="A539" i="1" s="1"/>
  <c r="A548" i="1" s="1"/>
  <c r="A549" i="1" s="1"/>
  <c r="A550" i="1" s="1"/>
  <c r="A551" i="1" s="1"/>
  <c r="A552" i="1" s="1"/>
  <c r="A553" i="1" s="1"/>
  <c r="A554" i="1" s="1"/>
  <c r="A555" i="1" s="1"/>
  <c r="A556" i="1" s="1"/>
  <c r="A557" i="1" s="1"/>
  <c r="A558" i="1" s="1"/>
  <c r="A559" i="1" s="1"/>
  <c r="A560" i="1" s="1"/>
  <c r="A561" i="1" s="1"/>
  <c r="A562" i="1" s="1"/>
  <c r="A564"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5" i="1" s="1"/>
  <c r="A596" i="1" s="1"/>
  <c r="A597" i="1" s="1"/>
  <c r="A598" i="1" s="1"/>
  <c r="A599" i="1" s="1"/>
  <c r="A600" i="1" s="1"/>
  <c r="A601" i="1" s="1"/>
  <c r="A602" i="1" s="1"/>
  <c r="A603" i="1" s="1"/>
  <c r="A604" i="1" s="1"/>
  <c r="A605" i="1" s="1"/>
  <c r="A606" i="1" s="1"/>
  <c r="A607" i="1" s="1"/>
  <c r="A608"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5" i="1" s="1"/>
  <c r="A766" i="1" s="1"/>
  <c r="A767" i="1" s="1"/>
  <c r="A768" i="1" s="1"/>
  <c r="A769" i="1" s="1"/>
  <c r="A770" i="1" s="1"/>
  <c r="A771" i="1" s="1"/>
  <c r="A772" i="1" s="1"/>
  <c r="A773" i="1" s="1"/>
  <c r="A774" i="1" s="1"/>
  <c r="A775" i="1" s="1"/>
  <c r="A776" i="1" s="1"/>
  <c r="A777" i="1" s="1"/>
  <c r="A778" i="1" s="1"/>
  <c r="A779" i="1" s="1"/>
  <c r="A780" i="1" s="1"/>
  <c r="A781" i="1" s="1"/>
  <c r="A782" i="1" s="1"/>
  <c r="A783" i="1" s="1"/>
  <c r="P3294" i="1"/>
  <c r="P3397" i="1" s="1"/>
  <c r="R3397" i="1" s="1"/>
  <c r="P213" i="1"/>
  <c r="R213" i="1" s="1"/>
  <c r="I3172" i="1"/>
  <c r="I3185" i="1" s="1"/>
  <c r="I3368" i="1" s="1"/>
  <c r="I786" i="1"/>
  <c r="K786" i="1" s="1"/>
  <c r="P25" i="1"/>
  <c r="R25" i="1" s="1"/>
  <c r="I2125" i="1"/>
  <c r="K2125" i="1" s="1"/>
  <c r="P622" i="1"/>
  <c r="R622" i="1" s="1"/>
  <c r="I110" i="1"/>
  <c r="K110" i="1" s="1"/>
  <c r="K133" i="1"/>
  <c r="I1019" i="1"/>
  <c r="P1093" i="1" s="1"/>
  <c r="R1093" i="1" s="1"/>
  <c r="I95" i="1"/>
  <c r="K95" i="1" s="1"/>
  <c r="I3748" i="1"/>
  <c r="K3748" i="1" s="1"/>
  <c r="I3253" i="1"/>
  <c r="K3253" i="1" s="1"/>
  <c r="V1334" i="1"/>
  <c r="X1334" i="1" s="1"/>
  <c r="P1375" i="1"/>
  <c r="R1375" i="1" s="1"/>
  <c r="I3795" i="1"/>
  <c r="K3795" i="1" s="1"/>
  <c r="I3723" i="1"/>
  <c r="K3723" i="1" s="1"/>
  <c r="I3706" i="1"/>
  <c r="K3706" i="1" s="1"/>
  <c r="P3515" i="1"/>
  <c r="R3515" i="1" s="1"/>
  <c r="I3769" i="1"/>
  <c r="K3769" i="1" s="1"/>
  <c r="I3749" i="1"/>
  <c r="K3749" i="1" s="1"/>
  <c r="V3671" i="1"/>
  <c r="I3342" i="1"/>
  <c r="AF3106" i="1"/>
  <c r="AQ3106" i="1" s="1"/>
  <c r="P2360" i="1"/>
  <c r="R2360" i="1" s="1"/>
  <c r="P1548" i="1"/>
  <c r="R1548" i="1" s="1"/>
  <c r="P1377" i="1"/>
  <c r="R1377" i="1" s="1"/>
  <c r="V1336" i="1"/>
  <c r="AB1334" i="1" s="1"/>
  <c r="AC1334" i="1" s="1"/>
  <c r="J3044" i="1"/>
  <c r="K3044" i="1" s="1"/>
  <c r="I2106" i="1"/>
  <c r="K2106" i="1" s="1"/>
  <c r="I2077" i="1"/>
  <c r="I2027" i="1"/>
  <c r="K2027" i="1" s="1"/>
  <c r="I3768" i="1"/>
  <c r="K3768" i="1" s="1"/>
  <c r="P3722" i="1"/>
  <c r="R3722" i="1" s="1"/>
  <c r="I3705" i="1"/>
  <c r="K3705" i="1" s="1"/>
  <c r="P2671" i="1"/>
  <c r="I2164" i="1"/>
  <c r="K2164" i="1" s="1"/>
  <c r="I2151" i="1"/>
  <c r="P2158" i="1" s="1"/>
  <c r="R2158" i="1" s="1"/>
  <c r="I2177" i="1"/>
  <c r="K2177" i="1" s="1"/>
  <c r="I2131" i="1"/>
  <c r="K2131" i="1" s="1"/>
  <c r="I3539" i="1"/>
  <c r="I2835" i="1"/>
  <c r="X12" i="1"/>
  <c r="D17" i="1"/>
  <c r="X24" i="1"/>
  <c r="AC31" i="1"/>
  <c r="I3461" i="1" s="1"/>
  <c r="D32" i="1"/>
  <c r="I1104" i="1" s="1"/>
  <c r="K1104" i="1" s="1"/>
  <c r="I229" i="1"/>
  <c r="I360" i="1"/>
  <c r="K360" i="1" s="1"/>
  <c r="P364" i="1"/>
  <c r="R364" i="1" s="1"/>
  <c r="P3514" i="1"/>
  <c r="R3514" i="1" s="1"/>
  <c r="P2359" i="1"/>
  <c r="R2359" i="1" s="1"/>
  <c r="I2298" i="1"/>
  <c r="K2298" i="1" s="1"/>
  <c r="V1335" i="1"/>
  <c r="X1335" i="1" s="1"/>
  <c r="P1376" i="1"/>
  <c r="R1376" i="1" s="1"/>
  <c r="I2739" i="1"/>
  <c r="K2739" i="1" s="1"/>
  <c r="I2369" i="1"/>
  <c r="K2369" i="1" s="1"/>
  <c r="I2132" i="1"/>
  <c r="K2132" i="1" s="1"/>
  <c r="I1810" i="1"/>
  <c r="K1810" i="1" s="1"/>
  <c r="I2686" i="1"/>
  <c r="K2686" i="1" s="1"/>
  <c r="I1944" i="1"/>
  <c r="I3565" i="1" s="1"/>
  <c r="I2055" i="1"/>
  <c r="I1467" i="1"/>
  <c r="K1467" i="1" s="1"/>
  <c r="I1507" i="1"/>
  <c r="K1507" i="1" s="1"/>
  <c r="I1394" i="1"/>
  <c r="I1258" i="1"/>
  <c r="I1435" i="1"/>
  <c r="K1435" i="1" s="1"/>
  <c r="I1224" i="1"/>
  <c r="K1224" i="1" s="1"/>
  <c r="I1381" i="1"/>
  <c r="K1381" i="1" s="1"/>
  <c r="V530" i="1"/>
  <c r="AB530" i="1" s="1"/>
  <c r="I606" i="1"/>
  <c r="K606" i="1" s="1"/>
  <c r="I528" i="1"/>
  <c r="K528" i="1" s="1"/>
  <c r="I785" i="1"/>
  <c r="K785" i="1" s="1"/>
  <c r="P505" i="1"/>
  <c r="R505" i="1" s="1"/>
  <c r="I622" i="1"/>
  <c r="K622" i="1" s="1"/>
  <c r="I3750" i="1"/>
  <c r="K3750" i="1" s="1"/>
  <c r="I3724" i="1"/>
  <c r="P3724" i="1" s="1"/>
  <c r="R3724" i="1" s="1"/>
  <c r="I3343" i="1"/>
  <c r="P3516" i="1"/>
  <c r="R3516" i="1" s="1"/>
  <c r="P2411" i="1"/>
  <c r="R2411" i="1" s="1"/>
  <c r="P1378" i="1"/>
  <c r="R1378" i="1" s="1"/>
  <c r="V1337" i="1"/>
  <c r="X1337" i="1" s="1"/>
  <c r="I2348" i="1"/>
  <c r="K2348" i="1" s="1"/>
  <c r="I784" i="1"/>
  <c r="K784" i="1" s="1"/>
  <c r="I743" i="1"/>
  <c r="I1784" i="1" s="1"/>
  <c r="K1784" i="1" s="1"/>
  <c r="I3523" i="1"/>
  <c r="P3527" i="1" s="1"/>
  <c r="R3527" i="1" s="1"/>
  <c r="I2867" i="1"/>
  <c r="K2867" i="1" s="1"/>
  <c r="V83" i="1"/>
  <c r="V111" i="1" s="1"/>
  <c r="X111" i="1" s="1"/>
  <c r="P286" i="1"/>
  <c r="R286" i="1" s="1"/>
  <c r="I339" i="1"/>
  <c r="V339" i="1" s="1"/>
  <c r="X339" i="1" s="1"/>
  <c r="I2790" i="1"/>
  <c r="K2790" i="1" s="1"/>
  <c r="L2756" i="1" s="1"/>
  <c r="I1707" i="1"/>
  <c r="K1707" i="1" s="1"/>
  <c r="I2054" i="1"/>
  <c r="I1227" i="1"/>
  <c r="K1227" i="1" s="1"/>
  <c r="V710" i="1"/>
  <c r="D46" i="32" s="1"/>
  <c r="F46" i="32" s="1"/>
  <c r="H46" i="32" s="1"/>
  <c r="I447" i="1"/>
  <c r="K447" i="1" s="1"/>
  <c r="I2699" i="1"/>
  <c r="K2699" i="1" s="1"/>
  <c r="I2153" i="1"/>
  <c r="K2153" i="1" s="1"/>
  <c r="I2133" i="1"/>
  <c r="K2133" i="1" s="1"/>
  <c r="I1508" i="1"/>
  <c r="K1508" i="1" s="1"/>
  <c r="I1648" i="1"/>
  <c r="I1235" i="1"/>
  <c r="K1235" i="1" s="1"/>
  <c r="I1259" i="1"/>
  <c r="I1225" i="1"/>
  <c r="I1254" i="1"/>
  <c r="P506" i="1"/>
  <c r="R506" i="1" s="1"/>
  <c r="I812" i="1"/>
  <c r="V806" i="1" s="1"/>
  <c r="I415" i="1"/>
  <c r="K415" i="1" s="1"/>
  <c r="P552" i="1"/>
  <c r="R552" i="1" s="1"/>
  <c r="I3735" i="1"/>
  <c r="K3735" i="1" s="1"/>
  <c r="I3341" i="1"/>
  <c r="P2409" i="1"/>
  <c r="R2409" i="1" s="1"/>
  <c r="P1302" i="1"/>
  <c r="R1302" i="1" s="1"/>
  <c r="I2367" i="1"/>
  <c r="K2367" i="1" s="1"/>
  <c r="P2373" i="1"/>
  <c r="R2373" i="1" s="1"/>
  <c r="V3672" i="1"/>
  <c r="I3796" i="1"/>
  <c r="K3796" i="1" s="1"/>
  <c r="P1549" i="1"/>
  <c r="R1549" i="1" s="1"/>
  <c r="I819" i="1"/>
  <c r="K819" i="1" s="1"/>
  <c r="I1772" i="1"/>
  <c r="K1772" i="1" s="1"/>
  <c r="I1603" i="1"/>
  <c r="I1575" i="1"/>
  <c r="K1575" i="1" s="1"/>
  <c r="I1587" i="1"/>
  <c r="K1587" i="1" s="1"/>
  <c r="P151" i="1"/>
  <c r="R151" i="1" s="1"/>
  <c r="I212" i="1"/>
  <c r="K212" i="1" s="1"/>
  <c r="P310" i="1"/>
  <c r="R310" i="1" s="1"/>
  <c r="I338" i="1"/>
  <c r="V338" i="1" s="1"/>
  <c r="AE338" i="1" s="1"/>
  <c r="AG338" i="1" s="1"/>
  <c r="I1548" i="1"/>
  <c r="I1535" i="1"/>
  <c r="I1147" i="1"/>
  <c r="K1147" i="1" s="1"/>
  <c r="P2410" i="1"/>
  <c r="R2410" i="1" s="1"/>
  <c r="P1303" i="1"/>
  <c r="R1303" i="1" s="1"/>
  <c r="I3722" i="1"/>
  <c r="K3722" i="1" s="1"/>
  <c r="V3670" i="1"/>
  <c r="I3794" i="1"/>
  <c r="K3794" i="1" s="1"/>
  <c r="I3767" i="1"/>
  <c r="K3767" i="1" s="1"/>
  <c r="I3704" i="1"/>
  <c r="K3704" i="1" s="1"/>
  <c r="AF3105" i="1"/>
  <c r="P1547" i="1"/>
  <c r="R1547" i="1" s="1"/>
  <c r="P1402" i="1"/>
  <c r="V1363" i="1" s="1"/>
  <c r="J706" i="1"/>
  <c r="I3283" i="1"/>
  <c r="K3283" i="1" s="1"/>
  <c r="I2636" i="1"/>
  <c r="P2643" i="1" s="1"/>
  <c r="R2643" i="1" s="1"/>
  <c r="V3133" i="1"/>
  <c r="V3158" i="1" s="1"/>
  <c r="I1063" i="1"/>
  <c r="AE1072" i="1" s="1"/>
  <c r="AG1072" i="1" s="1"/>
  <c r="K1026" i="1"/>
  <c r="R1096" i="1"/>
  <c r="I55" i="1"/>
  <c r="P68" i="1"/>
  <c r="R68" i="1" s="1"/>
  <c r="I199" i="1"/>
  <c r="I314" i="1"/>
  <c r="P1048" i="1"/>
  <c r="R1048" i="1" s="1"/>
  <c r="P1426" i="1"/>
  <c r="P1442" i="1" s="1"/>
  <c r="R1409" i="1"/>
  <c r="V1370" i="1"/>
  <c r="V1387" i="1" s="1"/>
  <c r="V1403" i="1" s="1"/>
  <c r="P1441" i="1"/>
  <c r="R1441" i="1" s="1"/>
  <c r="R1425" i="1"/>
  <c r="AD648" i="1"/>
  <c r="AF648" i="1" s="1"/>
  <c r="V879" i="1"/>
  <c r="V895" i="1" s="1"/>
  <c r="X895" i="1" s="1"/>
  <c r="K991" i="1"/>
  <c r="K995" i="1"/>
  <c r="P1051" i="1"/>
  <c r="R1051" i="1" s="1"/>
  <c r="P1118" i="1"/>
  <c r="R1118" i="1" s="1"/>
  <c r="I2977" i="1"/>
  <c r="K2841" i="1"/>
  <c r="AE1070" i="1"/>
  <c r="AG1070" i="1" s="1"/>
  <c r="P1054" i="1"/>
  <c r="R1054" i="1" s="1"/>
  <c r="P1072" i="1"/>
  <c r="V582" i="1"/>
  <c r="X582" i="1" s="1"/>
  <c r="X648" i="1"/>
  <c r="V679" i="1"/>
  <c r="X679" i="1" s="1"/>
  <c r="AE828" i="1"/>
  <c r="K879" i="1"/>
  <c r="P952" i="1"/>
  <c r="R952" i="1" s="1"/>
  <c r="K990" i="1"/>
  <c r="K994" i="1"/>
  <c r="K1023" i="1"/>
  <c r="AE1064" i="1"/>
  <c r="AG1064" i="1" s="1"/>
  <c r="I2972" i="1"/>
  <c r="K2972" i="1" s="1"/>
  <c r="K2836" i="1"/>
  <c r="I2976" i="1"/>
  <c r="K2840" i="1"/>
  <c r="AE1067" i="1"/>
  <c r="AG1067" i="1" s="1"/>
  <c r="K1058" i="1"/>
  <c r="I3991" i="1"/>
  <c r="I4007" i="1" s="1"/>
  <c r="I36" i="25" s="1"/>
  <c r="AB1371" i="1"/>
  <c r="AD1371" i="1" s="1"/>
  <c r="AD1354" i="1"/>
  <c r="I3992" i="1"/>
  <c r="I4008" i="1" s="1"/>
  <c r="P1449" i="1"/>
  <c r="R1449" i="1" s="1"/>
  <c r="R1433" i="1"/>
  <c r="I2975" i="1"/>
  <c r="P2982" i="1" s="1"/>
  <c r="R2982" i="1" s="1"/>
  <c r="K2839" i="1"/>
  <c r="P1398" i="1"/>
  <c r="R1398" i="1" s="1"/>
  <c r="K1057" i="1"/>
  <c r="R1264" i="1"/>
  <c r="AB1350" i="1"/>
  <c r="AD1350" i="1" s="1"/>
  <c r="V1378" i="1"/>
  <c r="R1394" i="1"/>
  <c r="R1416" i="1"/>
  <c r="AG2617" i="1"/>
  <c r="V1369" i="1"/>
  <c r="V1386" i="1" s="1"/>
  <c r="V1396" i="1"/>
  <c r="X1396" i="1" s="1"/>
  <c r="R1408" i="1"/>
  <c r="R1417" i="1"/>
  <c r="R1418" i="1"/>
  <c r="R1392" i="1"/>
  <c r="I3168" i="1"/>
  <c r="I3181" i="1" s="1"/>
  <c r="K1505" i="1"/>
  <c r="I3225" i="1"/>
  <c r="K3210" i="1"/>
  <c r="L3176" i="1" s="1"/>
  <c r="K3196" i="1"/>
  <c r="I3241" i="1"/>
  <c r="R2828" i="1"/>
  <c r="P3362" i="1"/>
  <c r="R3362" i="1" s="1"/>
  <c r="R3325" i="1"/>
  <c r="I1871" i="1"/>
  <c r="K1871" i="1" s="1"/>
  <c r="N1944" i="1"/>
  <c r="N1945" i="1" s="1"/>
  <c r="P2297" i="1"/>
  <c r="R2297" i="1" s="1"/>
  <c r="I2487" i="1"/>
  <c r="K2487" i="1" s="1"/>
  <c r="V2605" i="1"/>
  <c r="AE2619" i="1" s="1"/>
  <c r="AG2619" i="1" s="1"/>
  <c r="V2606" i="1"/>
  <c r="AE2620" i="1" s="1"/>
  <c r="AG2620" i="1" s="1"/>
  <c r="I2763" i="1"/>
  <c r="I2764" i="1" s="1"/>
  <c r="K2764" i="1" s="1"/>
  <c r="H3875" i="1"/>
  <c r="H3891" i="1" s="1"/>
  <c r="J3891" i="1" s="1"/>
  <c r="J3854" i="1"/>
  <c r="P2863" i="1"/>
  <c r="R2863" i="1" s="1"/>
  <c r="R2830" i="1"/>
  <c r="V3121" i="1"/>
  <c r="I4071" i="1" s="1"/>
  <c r="K4071" i="1" s="1"/>
  <c r="R3160" i="1"/>
  <c r="K1878" i="1"/>
  <c r="P2006" i="1"/>
  <c r="K2149" i="1"/>
  <c r="I2485" i="1"/>
  <c r="X2607" i="1"/>
  <c r="K2638" i="1"/>
  <c r="E2760" i="1"/>
  <c r="P2644" i="1"/>
  <c r="R2644" i="1" s="1"/>
  <c r="I3107" i="1"/>
  <c r="P2081" i="1" s="1"/>
  <c r="R2081" i="1" s="1"/>
  <c r="K2669" i="1"/>
  <c r="P2676" i="1"/>
  <c r="K1806" i="1"/>
  <c r="K1840" i="1"/>
  <c r="K2466" i="1"/>
  <c r="K2468" i="1"/>
  <c r="K2509" i="1"/>
  <c r="P3365" i="1"/>
  <c r="R3365" i="1" s="1"/>
  <c r="R3296" i="1"/>
  <c r="P3399" i="1"/>
  <c r="R3399" i="1" s="1"/>
  <c r="K3324" i="1"/>
  <c r="I3393" i="1"/>
  <c r="S2783" i="1"/>
  <c r="I3524" i="1"/>
  <c r="I3540" i="1" s="1"/>
  <c r="P3544" i="1" s="1"/>
  <c r="P3329" i="1"/>
  <c r="R3329" i="1" s="1"/>
  <c r="V3617" i="1"/>
  <c r="K3956" i="1"/>
  <c r="I3973" i="1"/>
  <c r="K3973" i="1" s="1"/>
  <c r="V3135" i="1"/>
  <c r="P3155" i="1"/>
  <c r="V3159" i="1"/>
  <c r="X3159" i="1" s="1"/>
  <c r="V3161" i="1"/>
  <c r="R3223" i="1"/>
  <c r="R3229" i="1"/>
  <c r="R3232" i="1"/>
  <c r="R3267" i="1"/>
  <c r="P3298" i="1"/>
  <c r="P3367" i="1" s="1"/>
  <c r="R3367" i="1" s="1"/>
  <c r="P3299" i="1"/>
  <c r="R3299" i="1" s="1"/>
  <c r="P3300" i="1"/>
  <c r="P3403" i="1" s="1"/>
  <c r="P3331" i="1"/>
  <c r="R3331" i="1" s="1"/>
  <c r="P3442" i="1"/>
  <c r="R3442" i="1" s="1"/>
  <c r="I3525" i="1"/>
  <c r="K3525" i="1" s="1"/>
  <c r="P3330" i="1"/>
  <c r="R3330" i="1" s="1"/>
  <c r="X3115" i="1"/>
  <c r="K3153" i="1"/>
  <c r="R3233" i="1"/>
  <c r="P3263" i="1"/>
  <c r="K3290" i="1"/>
  <c r="R3293" i="1"/>
  <c r="P3334" i="1"/>
  <c r="R3334" i="1" s="1"/>
  <c r="I3974" i="1"/>
  <c r="K3974" i="1" s="1"/>
  <c r="K4024" i="1"/>
  <c r="I4037" i="1"/>
  <c r="K4037" i="1" s="1"/>
  <c r="V3132" i="1"/>
  <c r="V3157" i="1" s="1"/>
  <c r="X3157" i="1" s="1"/>
  <c r="P3443" i="1"/>
  <c r="R3443" i="1" s="1"/>
  <c r="R3526" i="1"/>
  <c r="S3518" i="1"/>
  <c r="F3539" i="1"/>
  <c r="M3542" i="1"/>
  <c r="AE3545" i="1"/>
  <c r="AG3545" i="1" s="1"/>
  <c r="S3555" i="1"/>
  <c r="K3560" i="1"/>
  <c r="K3573" i="1"/>
  <c r="K3602" i="1"/>
  <c r="V3683" i="1"/>
  <c r="V3701" i="1" s="1"/>
  <c r="X3701" i="1" s="1"/>
  <c r="K3959" i="1"/>
  <c r="S3539" i="1"/>
  <c r="V3554" i="1"/>
  <c r="V3570" i="1" s="1"/>
  <c r="V3585" i="1" s="1"/>
  <c r="X3585" i="1" s="1"/>
  <c r="AB3555" i="1"/>
  <c r="K3545" i="1"/>
  <c r="V3545" i="1"/>
  <c r="V3561" i="1" s="1"/>
  <c r="V3577" i="1" s="1"/>
  <c r="X3577" i="1" s="1"/>
  <c r="S3570" i="1"/>
  <c r="K4009" i="1"/>
  <c r="AJ1197" i="1"/>
  <c r="AH247" i="11"/>
  <c r="K3724" i="1"/>
  <c r="R3300" i="1"/>
  <c r="K1063" i="1"/>
  <c r="I1078" i="1"/>
  <c r="K1078" i="1" s="1"/>
  <c r="X3132" i="1"/>
  <c r="P2979" i="1"/>
  <c r="R2979" i="1" s="1"/>
  <c r="J3875" i="1"/>
  <c r="X2606" i="1"/>
  <c r="Z2604" i="1"/>
  <c r="X1336" i="1"/>
  <c r="V1359" i="1"/>
  <c r="I3994" i="1" s="1"/>
  <c r="K3994" i="1" s="1"/>
  <c r="K3759" i="1"/>
  <c r="K3760" i="1" s="1"/>
  <c r="P3723" i="1"/>
  <c r="R3723" i="1" s="1"/>
  <c r="D45" i="32"/>
  <c r="D108" i="32" s="1"/>
  <c r="F108" i="32" s="1"/>
  <c r="X1387" i="1"/>
  <c r="X13" i="1"/>
  <c r="X14" i="1"/>
  <c r="I2522" i="27"/>
  <c r="K2522" i="27" s="1"/>
  <c r="I912" i="27"/>
  <c r="I36" i="27"/>
  <c r="K36" i="27" s="1"/>
  <c r="I54" i="27"/>
  <c r="K54" i="27" s="1"/>
  <c r="P689" i="27"/>
  <c r="R689" i="27" s="1"/>
  <c r="P704" i="27"/>
  <c r="R704" i="27" s="1"/>
  <c r="P720" i="27"/>
  <c r="R720" i="27" s="1"/>
  <c r="I2165" i="27"/>
  <c r="K2165" i="27" s="1"/>
  <c r="I881" i="27"/>
  <c r="K881" i="27" s="1"/>
  <c r="P209" i="27"/>
  <c r="R209" i="27" s="1"/>
  <c r="I945" i="27"/>
  <c r="K945" i="27" s="1"/>
  <c r="X35" i="1"/>
  <c r="I910" i="27"/>
  <c r="K910" i="27" s="1"/>
  <c r="W405" i="1"/>
  <c r="W406" i="1" s="1"/>
  <c r="P24" i="1"/>
  <c r="R24" i="1" s="1"/>
  <c r="K222" i="11"/>
  <c r="I1067" i="11"/>
  <c r="K1067" i="11" s="1"/>
  <c r="I900" i="11"/>
  <c r="K900" i="11" s="1"/>
  <c r="K793" i="11"/>
  <c r="P794" i="11"/>
  <c r="R794" i="11" s="1"/>
  <c r="I447" i="11"/>
  <c r="I506" i="11" s="1"/>
  <c r="K506" i="11" s="1"/>
  <c r="K434" i="11"/>
  <c r="K575" i="11"/>
  <c r="I594" i="11"/>
  <c r="K594" i="11" s="1"/>
  <c r="I123" i="11"/>
  <c r="K123" i="11" s="1"/>
  <c r="K103" i="11"/>
  <c r="I221" i="11"/>
  <c r="I1066" i="11" s="1"/>
  <c r="K1066" i="11" s="1"/>
  <c r="I241" i="11"/>
  <c r="K241" i="11" s="1"/>
  <c r="K218" i="11"/>
  <c r="I1063" i="11"/>
  <c r="K1063" i="11" s="1"/>
  <c r="I855" i="11"/>
  <c r="K855" i="11" s="1"/>
  <c r="K759" i="11"/>
  <c r="I121" i="11"/>
  <c r="K101" i="11"/>
  <c r="I219" i="11"/>
  <c r="I1064" i="11" s="1"/>
  <c r="K1064" i="11" s="1"/>
  <c r="K663" i="11"/>
  <c r="K75" i="11"/>
  <c r="I78" i="11"/>
  <c r="K78" i="11" s="1"/>
  <c r="K79" i="11"/>
  <c r="I83" i="11"/>
  <c r="I206" i="11" s="1"/>
  <c r="K206" i="11" s="1"/>
  <c r="K100" i="11"/>
  <c r="K104" i="11"/>
  <c r="I108" i="11"/>
  <c r="I226" i="11" s="1"/>
  <c r="I110" i="11"/>
  <c r="K110" i="11" s="1"/>
  <c r="K126" i="11"/>
  <c r="I170" i="11"/>
  <c r="K170" i="11" s="1"/>
  <c r="I176" i="11"/>
  <c r="K176" i="11" s="1"/>
  <c r="P298" i="11"/>
  <c r="R298" i="11" s="1"/>
  <c r="K416" i="11"/>
  <c r="P673" i="11"/>
  <c r="R673" i="11" s="1"/>
  <c r="P674" i="11"/>
  <c r="R674" i="11" s="1"/>
  <c r="P675" i="11"/>
  <c r="R675" i="11" s="1"/>
  <c r="I758" i="11"/>
  <c r="K758" i="11" s="1"/>
  <c r="I785" i="11"/>
  <c r="I816" i="11" s="1"/>
  <c r="K816" i="11" s="1"/>
  <c r="I792" i="11"/>
  <c r="I794" i="11"/>
  <c r="P795" i="11" s="1"/>
  <c r="M910" i="11"/>
  <c r="I977" i="11"/>
  <c r="K977" i="11" s="1"/>
  <c r="I987" i="11"/>
  <c r="K987" i="11" s="1"/>
  <c r="K1052" i="11" s="1"/>
  <c r="I1087" i="11"/>
  <c r="K1087" i="11" s="1"/>
  <c r="P51" i="11"/>
  <c r="R51" i="11" s="1"/>
  <c r="I120" i="11"/>
  <c r="I141" i="11" s="1"/>
  <c r="P663" i="11"/>
  <c r="R663" i="11" s="1"/>
  <c r="R16" i="11"/>
  <c r="K77" i="11"/>
  <c r="I105" i="11"/>
  <c r="K105" i="11" s="1"/>
  <c r="K125" i="11"/>
  <c r="I128" i="11"/>
  <c r="I1090" i="11" s="1"/>
  <c r="K1090" i="11" s="1"/>
  <c r="I143" i="11"/>
  <c r="I198" i="11"/>
  <c r="K198" i="11" s="1"/>
  <c r="I200" i="11"/>
  <c r="K200" i="11" s="1"/>
  <c r="K417" i="11"/>
  <c r="P665" i="11"/>
  <c r="R665" i="11" s="1"/>
  <c r="P23" i="11"/>
  <c r="P56" i="11" s="1"/>
  <c r="R56" i="11" s="1"/>
  <c r="I1490" i="1"/>
  <c r="P376" i="1"/>
  <c r="R376" i="1" s="1"/>
  <c r="P390" i="1"/>
  <c r="AC32" i="1"/>
  <c r="C139" i="1" s="1"/>
  <c r="Z33" i="1"/>
  <c r="AC33" i="1" s="1"/>
  <c r="I3732" i="27"/>
  <c r="K3732" i="27" s="1"/>
  <c r="K3625" i="27"/>
  <c r="C449" i="55"/>
  <c r="P2879" i="27"/>
  <c r="R2879" i="27" s="1"/>
  <c r="I3718" i="27"/>
  <c r="K3718" i="27" s="1"/>
  <c r="I3589" i="27"/>
  <c r="K3589" i="27" s="1"/>
  <c r="I130" i="11"/>
  <c r="I1092" i="11" s="1"/>
  <c r="K1092" i="11" s="1"/>
  <c r="K128" i="11"/>
  <c r="I491" i="11"/>
  <c r="K491" i="11" s="1"/>
  <c r="P2854" i="27"/>
  <c r="P2887" i="27" s="1"/>
  <c r="R2887" i="27" s="1"/>
  <c r="K108" i="11"/>
  <c r="I3699" i="27"/>
  <c r="K3699" i="27" s="1"/>
  <c r="P57" i="11"/>
  <c r="R57" i="11" s="1"/>
  <c r="C79" i="27"/>
  <c r="I151" i="27" s="1"/>
  <c r="K151" i="27" s="1"/>
  <c r="K160" i="27" s="1"/>
  <c r="I254" i="27"/>
  <c r="K254" i="27" s="1"/>
  <c r="I2617" i="27"/>
  <c r="K2617" i="27" s="1"/>
  <c r="I2260" i="27"/>
  <c r="I2662" i="27" s="1"/>
  <c r="K2662" i="27" s="1"/>
  <c r="K1083" i="27"/>
  <c r="P210" i="27"/>
  <c r="R210" i="27" s="1"/>
  <c r="I1059" i="27"/>
  <c r="K1059" i="27" s="1"/>
  <c r="I1012" i="27"/>
  <c r="I2523" i="27" s="1"/>
  <c r="K2523"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s="1"/>
  <c r="K342" i="27" s="1"/>
  <c r="K344" i="27" s="1"/>
  <c r="K346" i="27" s="1"/>
  <c r="K347" i="27" s="1"/>
  <c r="K348" i="27" s="1"/>
  <c r="K349" i="27" s="1"/>
  <c r="K350" i="27" s="1"/>
  <c r="I354" i="27"/>
  <c r="K354" i="27" s="1"/>
  <c r="K362" i="27" s="1"/>
  <c r="K364" i="27" s="1"/>
  <c r="K366" i="27" s="1"/>
  <c r="I139" i="27"/>
  <c r="K139" i="27" s="1"/>
  <c r="K143" i="27" s="1"/>
  <c r="I107" i="11" l="1"/>
  <c r="K107" i="11" s="1"/>
  <c r="I2554" i="27"/>
  <c r="I2585" i="27" s="1"/>
  <c r="K2585" i="27" s="1"/>
  <c r="X3561" i="1"/>
  <c r="K2763" i="1"/>
  <c r="P3369" i="1"/>
  <c r="R3369" i="1" s="1"/>
  <c r="P3127" i="27"/>
  <c r="R3127" i="27" s="1"/>
  <c r="I2560" i="27"/>
  <c r="K2866" i="27"/>
  <c r="K2957" i="27"/>
  <c r="AB1388" i="1"/>
  <c r="AD1388" i="1" s="1"/>
  <c r="K2907" i="27"/>
  <c r="I3920" i="27"/>
  <c r="K3920" i="27" s="1"/>
  <c r="I3801" i="27"/>
  <c r="K3170" i="27"/>
  <c r="AD572" i="1"/>
  <c r="K785" i="11"/>
  <c r="V3715" i="1"/>
  <c r="X3715" i="1" s="1"/>
  <c r="P3401" i="1"/>
  <c r="R3401" i="1" s="1"/>
  <c r="K3141" i="27"/>
  <c r="K3142" i="27" s="1"/>
  <c r="K3134" i="27" s="1"/>
  <c r="K3135" i="27" s="1"/>
  <c r="P10" i="64"/>
  <c r="P11" i="64" s="1"/>
  <c r="P21" i="64"/>
  <c r="P22" i="64" s="1"/>
  <c r="W10" i="64"/>
  <c r="J911" i="11"/>
  <c r="K911" i="11" s="1"/>
  <c r="X880" i="1"/>
  <c r="X2790" i="1"/>
  <c r="AG3554" i="1"/>
  <c r="P786" i="11"/>
  <c r="R786" i="11" s="1"/>
  <c r="K447" i="11"/>
  <c r="K3524" i="1"/>
  <c r="F149" i="32"/>
  <c r="E156" i="32"/>
  <c r="G156" i="32" s="1"/>
  <c r="D172" i="64"/>
  <c r="D173" i="64" s="1"/>
  <c r="D174" i="64" s="1"/>
  <c r="D175" i="64" s="1"/>
  <c r="F225" i="64"/>
  <c r="W37" i="64"/>
  <c r="K701" i="11"/>
  <c r="I1140" i="11"/>
  <c r="K2956" i="27"/>
  <c r="I2959" i="27"/>
  <c r="P389" i="27"/>
  <c r="R389" i="27" s="1"/>
  <c r="P375" i="27"/>
  <c r="R375" i="27" s="1"/>
  <c r="I1421" i="27"/>
  <c r="K1421" i="27" s="1"/>
  <c r="F536" i="64"/>
  <c r="D598" i="64"/>
  <c r="F598" i="64" s="1"/>
  <c r="K4008" i="1"/>
  <c r="I4023" i="1"/>
  <c r="K4023" i="1" s="1"/>
  <c r="C82" i="27"/>
  <c r="I1253" i="27" s="1"/>
  <c r="K1253" i="27" s="1"/>
  <c r="K1260" i="27" s="1"/>
  <c r="K1262" i="27" s="1"/>
  <c r="I1909" i="27" s="1"/>
  <c r="K1909" i="27" s="1"/>
  <c r="K1920" i="27" s="1"/>
  <c r="I224" i="27"/>
  <c r="K224" i="27" s="1"/>
  <c r="K231" i="27" s="1"/>
  <c r="K233" i="27" s="1"/>
  <c r="P299" i="1"/>
  <c r="R299" i="1" s="1"/>
  <c r="D676" i="73"/>
  <c r="F676" i="73" s="1"/>
  <c r="D658" i="73"/>
  <c r="F658" i="73" s="1"/>
  <c r="I448" i="1"/>
  <c r="K448" i="1" s="1"/>
  <c r="D675" i="73"/>
  <c r="F675" i="73" s="1"/>
  <c r="D657" i="73"/>
  <c r="F657" i="73" s="1"/>
  <c r="K1012" i="27"/>
  <c r="I1029" i="27"/>
  <c r="K1029" i="27" s="1"/>
  <c r="K1037" i="27" s="1"/>
  <c r="K1039" i="27" s="1"/>
  <c r="I888" i="27"/>
  <c r="K888" i="27" s="1"/>
  <c r="X2605" i="1"/>
  <c r="K3574" i="1"/>
  <c r="AB1352" i="1"/>
  <c r="AB1372" i="1"/>
  <c r="P1119" i="1"/>
  <c r="R1119" i="1" s="1"/>
  <c r="I1614" i="1"/>
  <c r="K1614" i="1" s="1"/>
  <c r="K3737" i="1"/>
  <c r="K3738" i="1" s="1"/>
  <c r="C941" i="55" s="1"/>
  <c r="I2850" i="27"/>
  <c r="I1950" i="27"/>
  <c r="K1950" i="27" s="1"/>
  <c r="R875" i="27"/>
  <c r="P495" i="27"/>
  <c r="R495" i="27" s="1"/>
  <c r="F178" i="64"/>
  <c r="P994" i="1"/>
  <c r="R994" i="1" s="1"/>
  <c r="K4066" i="1"/>
  <c r="K327" i="11"/>
  <c r="I878" i="11"/>
  <c r="K878" i="11" s="1"/>
  <c r="K881" i="11" s="1"/>
  <c r="I73" i="27"/>
  <c r="K73" i="27" s="1"/>
  <c r="I28" i="27"/>
  <c r="K28" i="27" s="1"/>
  <c r="V3592" i="1"/>
  <c r="X3592" i="1" s="1"/>
  <c r="I1602" i="1"/>
  <c r="K1602" i="1" s="1"/>
  <c r="P1458" i="1"/>
  <c r="P3297" i="1"/>
  <c r="P2674" i="1"/>
  <c r="I2313" i="1"/>
  <c r="K2313" i="1" s="1"/>
  <c r="AE1069" i="1"/>
  <c r="AG1069" i="1" s="1"/>
  <c r="I497" i="27"/>
  <c r="K497" i="27" s="1"/>
  <c r="I3826" i="27"/>
  <c r="K3826" i="27" s="1"/>
  <c r="I2906" i="27"/>
  <c r="K2906" i="27" s="1"/>
  <c r="K2849" i="27"/>
  <c r="I18" i="27"/>
  <c r="K18" i="27" s="1"/>
  <c r="I53" i="27"/>
  <c r="K53" i="27" s="1"/>
  <c r="K58" i="27" s="1"/>
  <c r="I946" i="27"/>
  <c r="K946" i="27" s="1"/>
  <c r="I1044" i="27"/>
  <c r="K1044" i="27" s="1"/>
  <c r="K219" i="11"/>
  <c r="I80" i="11"/>
  <c r="K80" i="11" s="1"/>
  <c r="K281" i="11"/>
  <c r="P21" i="11"/>
  <c r="R21" i="11" s="1"/>
  <c r="Z11" i="27"/>
  <c r="AC11" i="27" s="1"/>
  <c r="C70" i="27" s="1"/>
  <c r="I2051" i="27"/>
  <c r="K2051" i="27" s="1"/>
  <c r="P22" i="27"/>
  <c r="R22" i="27" s="1"/>
  <c r="R28" i="27" s="1"/>
  <c r="R30" i="27" s="1"/>
  <c r="F45" i="32"/>
  <c r="H45" i="32" s="1"/>
  <c r="R3298" i="1"/>
  <c r="K339" i="1"/>
  <c r="K3992" i="1"/>
  <c r="V3138" i="1"/>
  <c r="V3163" i="1" s="1"/>
  <c r="X3163" i="1" s="1"/>
  <c r="P997" i="1"/>
  <c r="R997" i="1" s="1"/>
  <c r="Z2603" i="1"/>
  <c r="I3060" i="1"/>
  <c r="P3067" i="1" s="1"/>
  <c r="R3067" i="1" s="1"/>
  <c r="K3107" i="1"/>
  <c r="K3527" i="1"/>
  <c r="I3543" i="1"/>
  <c r="K3522" i="1"/>
  <c r="K2485" i="1"/>
  <c r="P2649" i="1"/>
  <c r="R2649" i="1" s="1"/>
  <c r="P3268" i="1"/>
  <c r="P3335" i="1" s="1"/>
  <c r="V1374" i="1"/>
  <c r="K1060" i="1"/>
  <c r="P1222" i="1"/>
  <c r="R1222" i="1" s="1"/>
  <c r="T1222" i="1" s="1"/>
  <c r="K1022" i="1"/>
  <c r="I1574" i="1"/>
  <c r="K1574" i="1" s="1"/>
  <c r="P2335" i="1"/>
  <c r="R2335" i="1" s="1"/>
  <c r="I2681" i="1"/>
  <c r="C451" i="55"/>
  <c r="AC9" i="27"/>
  <c r="C68" i="27" s="1"/>
  <c r="I294" i="27" s="1"/>
  <c r="K294" i="27" s="1"/>
  <c r="K303" i="27" s="1"/>
  <c r="K305" i="27" s="1"/>
  <c r="F570" i="64"/>
  <c r="D327" i="64"/>
  <c r="F327" i="64" s="1"/>
  <c r="F528" i="64"/>
  <c r="R2851" i="27"/>
  <c r="I3797" i="27"/>
  <c r="K2894" i="27"/>
  <c r="P2873" i="27"/>
  <c r="R2873" i="27" s="1"/>
  <c r="I3249" i="27"/>
  <c r="K3249" i="27" s="1"/>
  <c r="I2759" i="27"/>
  <c r="K2759" i="27" s="1"/>
  <c r="K2868" i="27"/>
  <c r="I2913" i="27"/>
  <c r="K2913" i="27" s="1"/>
  <c r="I3665" i="27"/>
  <c r="K3665" i="27" s="1"/>
  <c r="P2847" i="27"/>
  <c r="P2880" i="27" s="1"/>
  <c r="R2880" i="27" s="1"/>
  <c r="K3767" i="27"/>
  <c r="K2201" i="27" s="1"/>
  <c r="K3524" i="27"/>
  <c r="L3524" i="27" s="1"/>
  <c r="I3312" i="27"/>
  <c r="K3312" i="27" s="1"/>
  <c r="I2527" i="27"/>
  <c r="K2527" i="27" s="1"/>
  <c r="I2328" i="27"/>
  <c r="K2328" i="27" s="1"/>
  <c r="I1951" i="27"/>
  <c r="K1951" i="27" s="1"/>
  <c r="I1760" i="27"/>
  <c r="K1760" i="27" s="1"/>
  <c r="I1507" i="27"/>
  <c r="K1507" i="27" s="1"/>
  <c r="I1424" i="27"/>
  <c r="K1424" i="27" s="1"/>
  <c r="I1327" i="27"/>
  <c r="K1327" i="27" s="1"/>
  <c r="I1205" i="27"/>
  <c r="K1205" i="27" s="1"/>
  <c r="P365" i="27"/>
  <c r="R365" i="27" s="1"/>
  <c r="K282" i="27"/>
  <c r="P84" i="27"/>
  <c r="R84" i="27" s="1"/>
  <c r="K1895" i="1"/>
  <c r="I3412" i="1"/>
  <c r="F3421" i="1" s="1"/>
  <c r="P15" i="11"/>
  <c r="R15" i="11" s="1"/>
  <c r="P53" i="11"/>
  <c r="R53" i="11" s="1"/>
  <c r="K19" i="11"/>
  <c r="K62" i="11" s="1"/>
  <c r="K1029" i="11" s="1"/>
  <c r="K2175" i="27"/>
  <c r="K2178" i="27" s="1"/>
  <c r="K2211" i="27" s="1"/>
  <c r="I773" i="27"/>
  <c r="K773" i="27" s="1"/>
  <c r="X3617" i="1"/>
  <c r="P1410" i="1"/>
  <c r="A207" i="1"/>
  <c r="A208" i="1" s="1"/>
  <c r="I911" i="27"/>
  <c r="K911" i="27" s="1"/>
  <c r="I975" i="27"/>
  <c r="K975" i="27" s="1"/>
  <c r="K221" i="11"/>
  <c r="R23" i="11"/>
  <c r="P819" i="11"/>
  <c r="R819" i="11" s="1"/>
  <c r="I2071" i="27"/>
  <c r="K2071" i="27" s="1"/>
  <c r="I64" i="27"/>
  <c r="K64" i="27" s="1"/>
  <c r="D26" i="25"/>
  <c r="D39" i="25" s="1"/>
  <c r="F39" i="25" s="1"/>
  <c r="K3523" i="1"/>
  <c r="K743" i="1"/>
  <c r="X3121" i="1"/>
  <c r="K2975" i="1"/>
  <c r="D626" i="25"/>
  <c r="R3544" i="1"/>
  <c r="K1628" i="1"/>
  <c r="P1968" i="1"/>
  <c r="R1968" i="1" s="1"/>
  <c r="V1392" i="1"/>
  <c r="X1392" i="1" s="1"/>
  <c r="P1430" i="1"/>
  <c r="P1115" i="1"/>
  <c r="R1115" i="1" s="1"/>
  <c r="V882" i="1"/>
  <c r="X882" i="1" s="1"/>
  <c r="I3103" i="1"/>
  <c r="I745" i="1"/>
  <c r="K745" i="1" s="1"/>
  <c r="R2849" i="27"/>
  <c r="G207" i="25"/>
  <c r="D24" i="25"/>
  <c r="D37" i="25" s="1"/>
  <c r="F37" i="25" s="1"/>
  <c r="I3666" i="27"/>
  <c r="K3666" i="27" s="1"/>
  <c r="K2845" i="27"/>
  <c r="P3506" i="27"/>
  <c r="R3506" i="27" s="1"/>
  <c r="I3827" i="27"/>
  <c r="K3827" i="27" s="1"/>
  <c r="I3923" i="27"/>
  <c r="K3923" i="27" s="1"/>
  <c r="I2996" i="27"/>
  <c r="P2872" i="27"/>
  <c r="R2872" i="27" s="1"/>
  <c r="K2844" i="27"/>
  <c r="I3000" i="27"/>
  <c r="K3000" i="27" s="1"/>
  <c r="I3534" i="27"/>
  <c r="K3534" i="27" s="1"/>
  <c r="I2852" i="27"/>
  <c r="I3003" i="27" s="1"/>
  <c r="K3003" i="27" s="1"/>
  <c r="I2790" i="27"/>
  <c r="K2790" i="27" s="1"/>
  <c r="I2562" i="27"/>
  <c r="I2056" i="27"/>
  <c r="K2056" i="27" s="1"/>
  <c r="K2021" i="27"/>
  <c r="I1932" i="27"/>
  <c r="K1932" i="27" s="1"/>
  <c r="I1778" i="27"/>
  <c r="K1778" i="27" s="1"/>
  <c r="I1640" i="27"/>
  <c r="K1640" i="27" s="1"/>
  <c r="I1521" i="27"/>
  <c r="K1521" i="27" s="1"/>
  <c r="I1340" i="27"/>
  <c r="K1340" i="27" s="1"/>
  <c r="I1292" i="27"/>
  <c r="K1292" i="27" s="1"/>
  <c r="I1239" i="27"/>
  <c r="K1239" i="27" s="1"/>
  <c r="I1185" i="27"/>
  <c r="K1185" i="27" s="1"/>
  <c r="I383" i="27"/>
  <c r="K383" i="27" s="1"/>
  <c r="P338" i="27"/>
  <c r="R338" i="27" s="1"/>
  <c r="I300" i="27"/>
  <c r="K300" i="27" s="1"/>
  <c r="P193" i="27"/>
  <c r="R193" i="27" s="1"/>
  <c r="E605" i="25"/>
  <c r="A618" i="25" s="1"/>
  <c r="F256" i="64"/>
  <c r="AJ43" i="1"/>
  <c r="V2608" i="1"/>
  <c r="X2608" i="1" s="1"/>
  <c r="Z2606" i="1" s="1"/>
  <c r="F26" i="25"/>
  <c r="K309" i="11"/>
  <c r="K310" i="11" s="1"/>
  <c r="K311" i="11" s="1"/>
  <c r="K303" i="11" s="1"/>
  <c r="K436" i="11"/>
  <c r="I3267" i="27"/>
  <c r="K328" i="11"/>
  <c r="I3748" i="27"/>
  <c r="K3748" i="27" s="1"/>
  <c r="K418" i="11"/>
  <c r="K435" i="11"/>
  <c r="I448" i="11"/>
  <c r="I507" i="11" s="1"/>
  <c r="K507" i="11" s="1"/>
  <c r="K508" i="11" s="1"/>
  <c r="K509" i="11" s="1"/>
  <c r="I1785" i="1"/>
  <c r="K1785" i="1" s="1"/>
  <c r="W435" i="1"/>
  <c r="W436" i="1" s="1"/>
  <c r="W437" i="1" s="1"/>
  <c r="W438" i="1" s="1"/>
  <c r="AF412" i="1"/>
  <c r="AF413" i="1" s="1"/>
  <c r="AF414" i="1" s="1"/>
  <c r="AF415" i="1" s="1"/>
  <c r="AF416" i="1" s="1"/>
  <c r="AF417" i="1" s="1"/>
  <c r="AF418" i="1" s="1"/>
  <c r="AF419" i="1" s="1"/>
  <c r="AF420" i="1" s="1"/>
  <c r="AF421" i="1" s="1"/>
  <c r="AF422" i="1" s="1"/>
  <c r="J707" i="1"/>
  <c r="J708" i="1" s="1"/>
  <c r="J709" i="1" s="1"/>
  <c r="J710" i="1" s="1"/>
  <c r="AF449" i="1"/>
  <c r="J687" i="1"/>
  <c r="J688" i="1" s="1"/>
  <c r="J689" i="1" s="1"/>
  <c r="J690" i="1" s="1"/>
  <c r="W402" i="1"/>
  <c r="W434" i="1"/>
  <c r="AF411" i="1"/>
  <c r="AR400" i="1" s="1"/>
  <c r="AF448" i="1"/>
  <c r="I1615" i="1"/>
  <c r="I94" i="1"/>
  <c r="K94" i="1" s="1"/>
  <c r="I3102" i="1"/>
  <c r="X3116" i="1"/>
  <c r="I1056" i="1"/>
  <c r="I3149" i="1"/>
  <c r="I1131" i="1"/>
  <c r="K1131" i="1" s="1"/>
  <c r="P721" i="1"/>
  <c r="R721" i="1" s="1"/>
  <c r="K1019" i="1"/>
  <c r="P736" i="1"/>
  <c r="R736" i="1" s="1"/>
  <c r="I954" i="1"/>
  <c r="K954" i="1" s="1"/>
  <c r="P752" i="1"/>
  <c r="R752" i="1" s="1"/>
  <c r="K1969" i="1"/>
  <c r="P1969" i="1"/>
  <c r="P431" i="1"/>
  <c r="P450" i="1"/>
  <c r="R450" i="1" s="1"/>
  <c r="P652" i="1"/>
  <c r="R652" i="1" s="1"/>
  <c r="I1750" i="1"/>
  <c r="K1750" i="1" s="1"/>
  <c r="I81" i="1"/>
  <c r="P468" i="1"/>
  <c r="R468" i="1" s="1"/>
  <c r="P640" i="1"/>
  <c r="R640" i="1" s="1"/>
  <c r="I2145" i="1"/>
  <c r="P2152" i="1" s="1"/>
  <c r="R2152" i="1" s="1"/>
  <c r="K136" i="1"/>
  <c r="I82" i="1"/>
  <c r="P576" i="1"/>
  <c r="R576" i="1" s="1"/>
  <c r="I1780" i="1"/>
  <c r="K1780" i="1" s="1"/>
  <c r="P141" i="1"/>
  <c r="I1970" i="1"/>
  <c r="K1970" i="1" s="1"/>
  <c r="P432" i="1"/>
  <c r="I3661" i="1" s="1"/>
  <c r="I176" i="1"/>
  <c r="K176" i="1" s="1"/>
  <c r="P577" i="1"/>
  <c r="R577" i="1" s="1"/>
  <c r="I2126" i="1"/>
  <c r="K2126" i="1" s="1"/>
  <c r="I168" i="1"/>
  <c r="K168" i="1" s="1"/>
  <c r="R141" i="1"/>
  <c r="P451" i="1"/>
  <c r="R451" i="1" s="1"/>
  <c r="I1757" i="1"/>
  <c r="K1757" i="1" s="1"/>
  <c r="P469" i="1"/>
  <c r="R469" i="1" s="1"/>
  <c r="I83" i="1"/>
  <c r="K83" i="1" s="1"/>
  <c r="I2146" i="1"/>
  <c r="K2146" i="1" s="1"/>
  <c r="K283" i="1"/>
  <c r="V715" i="1"/>
  <c r="X715" i="1" s="1"/>
  <c r="I37" i="1"/>
  <c r="K37" i="1" s="1"/>
  <c r="I29" i="1"/>
  <c r="I74" i="1"/>
  <c r="I65" i="1"/>
  <c r="P521" i="1"/>
  <c r="R521" i="1" s="1"/>
  <c r="I1826" i="1"/>
  <c r="K1826" i="1" s="1"/>
  <c r="I607" i="1"/>
  <c r="K607" i="1" s="1"/>
  <c r="I1808" i="1"/>
  <c r="K1808" i="1" s="1"/>
  <c r="P549" i="1"/>
  <c r="R549" i="1" s="1"/>
  <c r="I1844" i="1"/>
  <c r="K1844" i="1" s="1"/>
  <c r="I1179" i="1"/>
  <c r="P794" i="1"/>
  <c r="R794" i="1" s="1"/>
  <c r="R798" i="1" s="1"/>
  <c r="R800" i="1" s="1"/>
  <c r="I2368" i="1"/>
  <c r="K2368" i="1" s="1"/>
  <c r="K2372" i="1" s="1"/>
  <c r="K2374" i="1" s="1"/>
  <c r="P890" i="1"/>
  <c r="R890" i="1" s="1"/>
  <c r="I726" i="1"/>
  <c r="K726" i="1" s="1"/>
  <c r="I2321" i="1"/>
  <c r="K2321" i="1" s="1"/>
  <c r="I2030" i="1"/>
  <c r="P2030" i="1" s="1"/>
  <c r="R2030" i="1" s="1"/>
  <c r="I1631" i="1"/>
  <c r="I1972" i="1"/>
  <c r="P1972" i="1" s="1"/>
  <c r="I3121" i="1"/>
  <c r="I1943" i="1"/>
  <c r="I1993" i="1"/>
  <c r="K1993" i="1" s="1"/>
  <c r="I2011" i="1"/>
  <c r="P2012" i="1" s="1"/>
  <c r="I2008" i="1"/>
  <c r="K2008" i="1" s="1"/>
  <c r="I2053" i="1"/>
  <c r="K1564" i="1"/>
  <c r="I1590" i="1"/>
  <c r="K1590" i="1" s="1"/>
  <c r="I1506" i="1"/>
  <c r="I3169" i="1" s="1"/>
  <c r="K3169" i="1" s="1"/>
  <c r="I2718" i="1"/>
  <c r="K2718" i="1" s="1"/>
  <c r="I2712" i="1"/>
  <c r="K1548" i="1"/>
  <c r="I1533" i="1"/>
  <c r="P1522" i="1"/>
  <c r="R1522" i="1" s="1"/>
  <c r="I1161" i="1"/>
  <c r="K1161" i="1" s="1"/>
  <c r="I1518" i="1"/>
  <c r="K1518" i="1" s="1"/>
  <c r="P339" i="1"/>
  <c r="R339" i="1" s="1"/>
  <c r="P69" i="1"/>
  <c r="R69" i="1" s="1"/>
  <c r="V712" i="1"/>
  <c r="I449" i="1"/>
  <c r="K449" i="1" s="1"/>
  <c r="I868" i="1"/>
  <c r="V647" i="1"/>
  <c r="AD647" i="1" s="1"/>
  <c r="AF647" i="1" s="1"/>
  <c r="I1339" i="1"/>
  <c r="I1307" i="1"/>
  <c r="K1307" i="1" s="1"/>
  <c r="I1395" i="1"/>
  <c r="I1382" i="1"/>
  <c r="K1382" i="1" s="1"/>
  <c r="I1829" i="1"/>
  <c r="K1829" i="1" s="1"/>
  <c r="I1709" i="1"/>
  <c r="K1709" i="1" s="1"/>
  <c r="I2429" i="1"/>
  <c r="I2385" i="1"/>
  <c r="I2714" i="1"/>
  <c r="I275" i="1"/>
  <c r="K275" i="1" s="1"/>
  <c r="P393" i="1"/>
  <c r="I340" i="1"/>
  <c r="K340" i="1" s="1"/>
  <c r="V360" i="1"/>
  <c r="X360" i="1" s="1"/>
  <c r="I384" i="1"/>
  <c r="I214" i="1"/>
  <c r="K214" i="1" s="1"/>
  <c r="I886" i="1"/>
  <c r="K886" i="1" s="1"/>
  <c r="I491" i="1"/>
  <c r="K491" i="1" s="1"/>
  <c r="I902" i="1"/>
  <c r="K902" i="1" s="1"/>
  <c r="I1203" i="1"/>
  <c r="I1360" i="1"/>
  <c r="K1360" i="1" s="1"/>
  <c r="I1436" i="1"/>
  <c r="K1436" i="1" s="1"/>
  <c r="I1421" i="1"/>
  <c r="I1913" i="1"/>
  <c r="K1913" i="1" s="1"/>
  <c r="I1811" i="1"/>
  <c r="K1811" i="1" s="1"/>
  <c r="I2108" i="1"/>
  <c r="K2108" i="1" s="1"/>
  <c r="I2740" i="1"/>
  <c r="K2740" i="1" s="1"/>
  <c r="I3460" i="1"/>
  <c r="P3466" i="1" s="1"/>
  <c r="R3466" i="1" s="1"/>
  <c r="P379" i="1"/>
  <c r="R379" i="1" s="1"/>
  <c r="P322" i="1"/>
  <c r="R322" i="1" s="1"/>
  <c r="P54" i="1"/>
  <c r="R54" i="1" s="1"/>
  <c r="P366" i="1"/>
  <c r="R366" i="1" s="1"/>
  <c r="I301" i="1"/>
  <c r="K301" i="1" s="1"/>
  <c r="P1147" i="1"/>
  <c r="R1147" i="1" s="1"/>
  <c r="P524" i="1"/>
  <c r="R524" i="1" s="1"/>
  <c r="I508" i="1"/>
  <c r="K508" i="1" s="1"/>
  <c r="I1229" i="1"/>
  <c r="K1229" i="1" s="1"/>
  <c r="I1408" i="1"/>
  <c r="I1520" i="1"/>
  <c r="K1520" i="1" s="1"/>
  <c r="P1524" i="1"/>
  <c r="R1524" i="1" s="1"/>
  <c r="I1493" i="1"/>
  <c r="K1493" i="1" s="1"/>
  <c r="I2028" i="1"/>
  <c r="P2028" i="1" s="1"/>
  <c r="R2028" i="1" s="1"/>
  <c r="I2009" i="1"/>
  <c r="K2009" i="1" s="1"/>
  <c r="I1847" i="1"/>
  <c r="I2687" i="1"/>
  <c r="K2687" i="1" s="1"/>
  <c r="P287" i="1"/>
  <c r="R287" i="1" s="1"/>
  <c r="P84" i="1"/>
  <c r="R84" i="1" s="1"/>
  <c r="I316" i="1"/>
  <c r="AS3106" i="1"/>
  <c r="I414" i="1"/>
  <c r="K414" i="1" s="1"/>
  <c r="I228" i="1"/>
  <c r="I198" i="1"/>
  <c r="P321" i="1"/>
  <c r="R321" i="1" s="1"/>
  <c r="V646" i="1"/>
  <c r="X646" i="1" s="1"/>
  <c r="P523" i="1"/>
  <c r="R523" i="1" s="1"/>
  <c r="I811" i="1"/>
  <c r="K811" i="1" s="1"/>
  <c r="P551" i="1"/>
  <c r="R551" i="1" s="1"/>
  <c r="I866" i="1"/>
  <c r="I3306" i="1" s="1"/>
  <c r="K3306" i="1" s="1"/>
  <c r="I900" i="1"/>
  <c r="K900" i="1" s="1"/>
  <c r="P1523" i="1"/>
  <c r="R1523" i="1" s="1"/>
  <c r="I1228" i="1"/>
  <c r="K1228" i="1" s="1"/>
  <c r="P1360" i="1"/>
  <c r="R1360" i="1" s="1"/>
  <c r="I1306" i="1"/>
  <c r="P1304" i="1" s="1"/>
  <c r="R1304" i="1" s="1"/>
  <c r="I1407" i="1"/>
  <c r="I2031" i="1"/>
  <c r="K2031" i="1" s="1"/>
  <c r="I1480" i="1"/>
  <c r="K1480" i="1" s="1"/>
  <c r="I2165" i="1"/>
  <c r="K2165" i="1" s="1"/>
  <c r="I1995" i="1"/>
  <c r="P1995" i="1" s="1"/>
  <c r="I2791" i="1"/>
  <c r="K2791" i="1" s="1"/>
  <c r="L2757" i="1" s="1"/>
  <c r="I1912" i="1"/>
  <c r="K1912" i="1" s="1"/>
  <c r="I2152" i="1"/>
  <c r="P2159" i="1" s="1"/>
  <c r="R2159" i="1" s="1"/>
  <c r="I2428" i="1"/>
  <c r="P2435" i="1" s="1"/>
  <c r="R2435" i="1" s="1"/>
  <c r="J3045" i="1"/>
  <c r="K3045" i="1" s="1"/>
  <c r="K3046" i="1" s="1"/>
  <c r="C716" i="55" s="1"/>
  <c r="I383" i="1"/>
  <c r="I3809" i="1"/>
  <c r="K3809" i="1" s="1"/>
  <c r="I490" i="1"/>
  <c r="K490" i="1" s="1"/>
  <c r="P392" i="1"/>
  <c r="R392" i="1" s="1"/>
  <c r="P83" i="1"/>
  <c r="R83" i="1" s="1"/>
  <c r="P53" i="1"/>
  <c r="R53" i="1" s="1"/>
  <c r="I359" i="1"/>
  <c r="K359" i="1" s="1"/>
  <c r="I300" i="1"/>
  <c r="K300" i="1" s="1"/>
  <c r="P309" i="1"/>
  <c r="R309" i="1" s="1"/>
  <c r="I652" i="1"/>
  <c r="K652" i="1" s="1"/>
  <c r="V711" i="1"/>
  <c r="X711" i="1" s="1"/>
  <c r="Z711" i="1" s="1"/>
  <c r="I884" i="1"/>
  <c r="K884" i="1" s="1"/>
  <c r="I552" i="1"/>
  <c r="K552" i="1" s="1"/>
  <c r="P1146" i="1"/>
  <c r="I1149" i="1"/>
  <c r="K1149" i="1" s="1"/>
  <c r="I1162" i="1"/>
  <c r="K1162" i="1" s="1"/>
  <c r="K1165" i="1" s="1"/>
  <c r="K1167" i="1" s="1"/>
  <c r="I1273" i="1"/>
  <c r="I1420" i="1"/>
  <c r="I1519" i="1"/>
  <c r="K1519" i="1" s="1"/>
  <c r="P2337" i="1"/>
  <c r="R2337" i="1" s="1"/>
  <c r="R2338" i="1" s="1"/>
  <c r="R2339" i="1" s="1"/>
  <c r="I1846" i="1"/>
  <c r="K1846" i="1" s="1"/>
  <c r="I2335" i="1"/>
  <c r="K2335" i="1" s="1"/>
  <c r="I2107" i="1"/>
  <c r="K2107" i="1" s="1"/>
  <c r="I1647" i="1"/>
  <c r="K1647" i="1" s="1"/>
  <c r="I1974" i="1"/>
  <c r="K1974" i="1" s="1"/>
  <c r="I2178" i="1"/>
  <c r="K2178" i="1" s="1"/>
  <c r="I2713" i="1"/>
  <c r="I3459" i="1"/>
  <c r="I3826" i="1" s="1"/>
  <c r="K3826" i="1" s="1"/>
  <c r="I315" i="1"/>
  <c r="V479" i="1"/>
  <c r="AB479" i="1" s="1"/>
  <c r="AD479" i="1" s="1"/>
  <c r="P298" i="1"/>
  <c r="R298" i="1" s="1"/>
  <c r="I213" i="1"/>
  <c r="K213" i="1" s="1"/>
  <c r="I727" i="1"/>
  <c r="K727" i="1" s="1"/>
  <c r="I763" i="1"/>
  <c r="K763" i="1" s="1"/>
  <c r="P891" i="1"/>
  <c r="R891" i="1" s="1"/>
  <c r="I584" i="1"/>
  <c r="K584" i="1" s="1"/>
  <c r="I507" i="1"/>
  <c r="I1253" i="1"/>
  <c r="I1202" i="1"/>
  <c r="I1338" i="1"/>
  <c r="K1338" i="1" s="1"/>
  <c r="I1455" i="1"/>
  <c r="K1455" i="1" s="1"/>
  <c r="I1359" i="1"/>
  <c r="I1492" i="1"/>
  <c r="I2349" i="1"/>
  <c r="I2012" i="1"/>
  <c r="P2013" i="1" s="1"/>
  <c r="I1828" i="1"/>
  <c r="K1828" i="1" s="1"/>
  <c r="I2399" i="1"/>
  <c r="I1708" i="1"/>
  <c r="K1708" i="1" s="1"/>
  <c r="I2079" i="1"/>
  <c r="I2322" i="1"/>
  <c r="K2322" i="1" s="1"/>
  <c r="I2994" i="1"/>
  <c r="K2994" i="1" s="1"/>
  <c r="P378" i="1"/>
  <c r="R378" i="1" s="1"/>
  <c r="P338" i="1"/>
  <c r="R338" i="1" s="1"/>
  <c r="I274" i="1"/>
  <c r="K274" i="1" s="1"/>
  <c r="P82" i="1"/>
  <c r="R82" i="1" s="1"/>
  <c r="I382" i="1"/>
  <c r="K382" i="1" s="1"/>
  <c r="I506" i="1"/>
  <c r="I2900" i="1" s="1"/>
  <c r="K2900" i="1" s="1"/>
  <c r="I1337" i="1"/>
  <c r="I1252" i="1"/>
  <c r="I2078" i="1"/>
  <c r="K2078" i="1" s="1"/>
  <c r="I2427" i="1"/>
  <c r="P2434" i="1" s="1"/>
  <c r="R2434" i="1" s="1"/>
  <c r="I2993" i="1"/>
  <c r="K2993" i="1" s="1"/>
  <c r="I413" i="1"/>
  <c r="K413" i="1" s="1"/>
  <c r="I358" i="1"/>
  <c r="V358" i="1" s="1"/>
  <c r="AE367" i="1" s="1"/>
  <c r="AG367" i="1" s="1"/>
  <c r="I273" i="1"/>
  <c r="K273" i="1" s="1"/>
  <c r="P67" i="1"/>
  <c r="R67" i="1" s="1"/>
  <c r="I299" i="1"/>
  <c r="K299" i="1" s="1"/>
  <c r="P52" i="1"/>
  <c r="R52" i="1" s="1"/>
  <c r="P391" i="1"/>
  <c r="R391" i="1" s="1"/>
  <c r="V645" i="1"/>
  <c r="X645" i="1" s="1"/>
  <c r="I1380" i="1"/>
  <c r="K1380" i="1" s="1"/>
  <c r="I1257" i="1"/>
  <c r="K1257" i="1" s="1"/>
  <c r="I2334" i="1"/>
  <c r="K2334" i="1" s="1"/>
  <c r="I1994" i="1"/>
  <c r="P1994" i="1" s="1"/>
  <c r="I3458" i="1"/>
  <c r="K3458" i="1" s="1"/>
  <c r="I197" i="1"/>
  <c r="K197" i="1" s="1"/>
  <c r="P377" i="1"/>
  <c r="R377" i="1" s="1"/>
  <c r="I810" i="1"/>
  <c r="V804" i="1" s="1"/>
  <c r="X804" i="1" s="1"/>
  <c r="P1145" i="1"/>
  <c r="I1223" i="1"/>
  <c r="K1223" i="1" s="1"/>
  <c r="I1358" i="1"/>
  <c r="I1491" i="1"/>
  <c r="I1973" i="1"/>
  <c r="P285" i="1"/>
  <c r="R285" i="1" s="1"/>
  <c r="I227" i="1"/>
  <c r="I1353" i="1"/>
  <c r="C67" i="1"/>
  <c r="P3467" i="1"/>
  <c r="R3467" i="1" s="1"/>
  <c r="I3828" i="1"/>
  <c r="K3828" i="1" s="1"/>
  <c r="K3461" i="1"/>
  <c r="I18" i="1"/>
  <c r="P1379" i="1"/>
  <c r="R1379" i="1" s="1"/>
  <c r="I2296" i="1"/>
  <c r="K2296" i="1" s="1"/>
  <c r="I3530" i="1"/>
  <c r="R3403" i="1"/>
  <c r="X1403" i="1"/>
  <c r="AB1401" i="1"/>
  <c r="V1402" i="1"/>
  <c r="X1386" i="1"/>
  <c r="I989" i="11"/>
  <c r="K989" i="11" s="1"/>
  <c r="K1535" i="1"/>
  <c r="K1408" i="1"/>
  <c r="K1407" i="1"/>
  <c r="K3797" i="27"/>
  <c r="P3497" i="27"/>
  <c r="R3497" i="27" s="1"/>
  <c r="I3535" i="27"/>
  <c r="K3535" i="27" s="1"/>
  <c r="K18" i="1"/>
  <c r="R1995" i="1"/>
  <c r="K229" i="1"/>
  <c r="K2077" i="1"/>
  <c r="K3801" i="27"/>
  <c r="I3708" i="27"/>
  <c r="K3708" i="27" s="1"/>
  <c r="K448" i="11"/>
  <c r="I1085" i="11"/>
  <c r="K1085" i="11" s="1"/>
  <c r="I901" i="11"/>
  <c r="K143" i="11"/>
  <c r="K141" i="11"/>
  <c r="Z12" i="27"/>
  <c r="I19" i="27"/>
  <c r="K19" i="27" s="1"/>
  <c r="K23" i="27" s="1"/>
  <c r="I271" i="27"/>
  <c r="K271" i="27" s="1"/>
  <c r="I45" i="27"/>
  <c r="K45" i="27" s="1"/>
  <c r="I976" i="27"/>
  <c r="K976" i="27" s="1"/>
  <c r="K4007" i="1"/>
  <c r="K36" i="25" s="1"/>
  <c r="I1304" i="1"/>
  <c r="K1304" i="1" s="1"/>
  <c r="D45" i="50"/>
  <c r="P1415" i="1"/>
  <c r="V1376" i="1" s="1"/>
  <c r="P3528" i="1"/>
  <c r="R3528" i="1" s="1"/>
  <c r="R1426" i="1"/>
  <c r="I3057" i="1"/>
  <c r="K3057" i="1" s="1"/>
  <c r="X1369" i="1"/>
  <c r="X3554" i="1"/>
  <c r="P199" i="1"/>
  <c r="K2712" i="1"/>
  <c r="V1283" i="1"/>
  <c r="X1283" i="1" s="1"/>
  <c r="K1259" i="1"/>
  <c r="K1358" i="1"/>
  <c r="AB1266" i="1"/>
  <c r="AD1266" i="1" s="1"/>
  <c r="K1420" i="1"/>
  <c r="V383" i="1"/>
  <c r="V414" i="1" s="1"/>
  <c r="X414" i="1" s="1"/>
  <c r="P233" i="1"/>
  <c r="R233" i="1" s="1"/>
  <c r="K20" i="1"/>
  <c r="F547" i="25"/>
  <c r="D584" i="25"/>
  <c r="D619" i="25" s="1"/>
  <c r="I3686" i="27"/>
  <c r="K3686" i="27" s="1"/>
  <c r="I2998" i="27"/>
  <c r="K2998" i="27" s="1"/>
  <c r="I3368" i="27"/>
  <c r="K3335" i="27"/>
  <c r="I3330" i="27" s="1"/>
  <c r="K3330" i="27" s="1"/>
  <c r="K920" i="27"/>
  <c r="I2564" i="27"/>
  <c r="K2564" i="27" s="1"/>
  <c r="P600" i="27"/>
  <c r="R600" i="27" s="1"/>
  <c r="I2068" i="27"/>
  <c r="K2068" i="27" s="1"/>
  <c r="I82" i="27"/>
  <c r="K82" i="27" s="1"/>
  <c r="I1711" i="27"/>
  <c r="K1711" i="27" s="1"/>
  <c r="I1891" i="27"/>
  <c r="K1891" i="27" s="1"/>
  <c r="I81" i="27"/>
  <c r="K81" i="27" s="1"/>
  <c r="I110" i="27"/>
  <c r="K110" i="27" s="1"/>
  <c r="K1490" i="1"/>
  <c r="D287" i="64"/>
  <c r="F221" i="64"/>
  <c r="I2261" i="27"/>
  <c r="P635" i="27"/>
  <c r="R635" i="27" s="1"/>
  <c r="I223" i="11"/>
  <c r="P2858" i="27"/>
  <c r="R2858" i="27" s="1"/>
  <c r="R390" i="1"/>
  <c r="Z35" i="27"/>
  <c r="AC35" i="27" s="1"/>
  <c r="I253" i="27" s="1"/>
  <c r="K253" i="27" s="1"/>
  <c r="K258" i="27" s="1"/>
  <c r="K260" i="27" s="1"/>
  <c r="I4034" i="1"/>
  <c r="K4034" i="1" s="1"/>
  <c r="I37" i="25"/>
  <c r="I3079" i="1"/>
  <c r="K3079" i="1" s="1"/>
  <c r="I2425" i="1"/>
  <c r="P2432" i="1" s="1"/>
  <c r="R2432" i="1" s="1"/>
  <c r="P947" i="1"/>
  <c r="R947" i="1" s="1"/>
  <c r="V733" i="1"/>
  <c r="X733" i="1" s="1"/>
  <c r="V898" i="1"/>
  <c r="X898" i="1" s="1"/>
  <c r="I2507" i="1"/>
  <c r="P2514" i="1" s="1"/>
  <c r="P1466" i="1"/>
  <c r="P3368" i="1"/>
  <c r="R3368" i="1" s="1"/>
  <c r="P3547" i="1"/>
  <c r="R3547" i="1" s="1"/>
  <c r="R2006" i="1"/>
  <c r="R1072" i="1"/>
  <c r="K384" i="1"/>
  <c r="K314" i="1"/>
  <c r="K55" i="1"/>
  <c r="K1533" i="1"/>
  <c r="K74" i="1"/>
  <c r="K1339" i="1"/>
  <c r="K1395" i="1"/>
  <c r="I2720" i="1"/>
  <c r="K2720" i="1" s="1"/>
  <c r="K2054" i="1"/>
  <c r="K1253" i="1"/>
  <c r="K1202" i="1"/>
  <c r="K1359" i="1"/>
  <c r="K1492" i="1"/>
  <c r="R2013" i="1"/>
  <c r="K2079" i="1"/>
  <c r="R2012" i="1"/>
  <c r="I3007" i="27"/>
  <c r="K3007" i="27" s="1"/>
  <c r="I2908" i="27"/>
  <c r="I3799" i="27"/>
  <c r="K2846" i="27"/>
  <c r="K1085" i="27"/>
  <c r="I2262" i="27"/>
  <c r="I167" i="27"/>
  <c r="C164" i="27" s="1"/>
  <c r="I2049" i="27"/>
  <c r="K2049" i="27" s="1"/>
  <c r="P554" i="27"/>
  <c r="R554" i="27" s="1"/>
  <c r="I1892" i="27"/>
  <c r="K1892" i="27" s="1"/>
  <c r="I1976" i="27"/>
  <c r="K1976" i="27" s="1"/>
  <c r="I1865" i="27"/>
  <c r="K1865" i="27" s="1"/>
  <c r="I1934" i="27"/>
  <c r="K1934" i="27" s="1"/>
  <c r="I1953" i="27"/>
  <c r="K1953" i="27" s="1"/>
  <c r="I1449" i="27"/>
  <c r="K1449" i="27" s="1"/>
  <c r="I1464" i="27"/>
  <c r="K1464" i="27" s="1"/>
  <c r="V1286" i="1"/>
  <c r="X1286" i="1" s="1"/>
  <c r="R393" i="1"/>
  <c r="K3806" i="27"/>
  <c r="K3354" i="27"/>
  <c r="I3587" i="27"/>
  <c r="K3587" i="27" s="1"/>
  <c r="C139" i="27"/>
  <c r="C137" i="27"/>
  <c r="AC29" i="27"/>
  <c r="C91" i="27" s="1"/>
  <c r="K1066" i="27"/>
  <c r="K1068" i="27" s="1"/>
  <c r="K1140" i="11"/>
  <c r="K449" i="11"/>
  <c r="R676" i="11"/>
  <c r="R667" i="11" s="1"/>
  <c r="K304" i="11"/>
  <c r="K2269" i="1" s="1"/>
  <c r="C424" i="55" s="1"/>
  <c r="I1783" i="1"/>
  <c r="K1783" i="1" s="1"/>
  <c r="K3225" i="1"/>
  <c r="L3191" i="1" s="1"/>
  <c r="K2775" i="1"/>
  <c r="K2778" i="1" s="1"/>
  <c r="C718" i="55" s="1"/>
  <c r="P166" i="1"/>
  <c r="R166" i="1" s="1"/>
  <c r="K65" i="1"/>
  <c r="K1203" i="1"/>
  <c r="K1421" i="1"/>
  <c r="K1337" i="1"/>
  <c r="V1281" i="1"/>
  <c r="X1281" i="1" s="1"/>
  <c r="K1258" i="1"/>
  <c r="K1394" i="1"/>
  <c r="K2055" i="1"/>
  <c r="K316" i="1"/>
  <c r="K29" i="1"/>
  <c r="K2053" i="1"/>
  <c r="K141" i="1"/>
  <c r="I3810" i="27"/>
  <c r="K3222" i="27"/>
  <c r="I3218" i="27" s="1"/>
  <c r="K3218" i="27" s="1"/>
  <c r="I3921" i="27"/>
  <c r="K3921" i="27" s="1"/>
  <c r="K3924" i="27" s="1"/>
  <c r="I3938" i="27" s="1"/>
  <c r="K3938" i="27" s="1"/>
  <c r="P2871" i="27"/>
  <c r="R2871" i="27" s="1"/>
  <c r="I3825" i="27"/>
  <c r="K3825" i="27" s="1"/>
  <c r="I3158" i="27"/>
  <c r="I3247" i="27"/>
  <c r="P2852" i="27"/>
  <c r="K2852" i="27"/>
  <c r="K2892" i="27" s="1"/>
  <c r="K3850" i="27" s="1"/>
  <c r="I2909" i="27"/>
  <c r="I2931" i="27"/>
  <c r="I3725" i="27"/>
  <c r="K3725" i="27" s="1"/>
  <c r="I2995" i="27"/>
  <c r="K2995" i="27" s="1"/>
  <c r="I3795" i="27"/>
  <c r="K1019" i="27"/>
  <c r="I2530" i="27"/>
  <c r="K2530" i="27" s="1"/>
  <c r="K1015" i="27"/>
  <c r="I2526" i="27"/>
  <c r="K2526" i="27" s="1"/>
  <c r="I880" i="27"/>
  <c r="K880" i="27" s="1"/>
  <c r="K883" i="27" s="1"/>
  <c r="I887" i="27"/>
  <c r="K887" i="27" s="1"/>
  <c r="K890" i="27" s="1"/>
  <c r="K3803" i="27"/>
  <c r="K3837" i="27" s="1"/>
  <c r="K3910" i="27"/>
  <c r="F150" i="50"/>
  <c r="K3796" i="27"/>
  <c r="K2745" i="27"/>
  <c r="K2748" i="27" s="1"/>
  <c r="I2563" i="27"/>
  <c r="I1777" i="27"/>
  <c r="K1777" i="27" s="1"/>
  <c r="I1741" i="27"/>
  <c r="K1741" i="27" s="1"/>
  <c r="I1639" i="27"/>
  <c r="K1639" i="27" s="1"/>
  <c r="I1046" i="27"/>
  <c r="K1046" i="27" s="1"/>
  <c r="K1052" i="27" s="1"/>
  <c r="K1054" i="27" s="1"/>
  <c r="I482" i="27"/>
  <c r="K482" i="27" s="1"/>
  <c r="I413" i="27"/>
  <c r="K413" i="27" s="1"/>
  <c r="P320" i="27"/>
  <c r="R320" i="27" s="1"/>
  <c r="F272" i="25"/>
  <c r="D256" i="25" s="1"/>
  <c r="F256" i="25" s="1"/>
  <c r="K3893" i="27"/>
  <c r="K2810" i="27"/>
  <c r="K2811" i="27" s="1"/>
  <c r="K2802" i="27" s="1"/>
  <c r="I2789" i="27"/>
  <c r="K2789" i="27" s="1"/>
  <c r="K2792" i="27" s="1"/>
  <c r="K2794" i="27" s="1"/>
  <c r="I2531" i="27"/>
  <c r="K2531" i="27" s="1"/>
  <c r="K2427" i="27"/>
  <c r="I1917" i="27"/>
  <c r="K1917" i="27" s="1"/>
  <c r="I1866" i="27"/>
  <c r="K1866" i="27" s="1"/>
  <c r="I1835" i="27"/>
  <c r="K1835" i="27" s="1"/>
  <c r="I1759" i="27"/>
  <c r="K1759" i="27" s="1"/>
  <c r="I1451" i="27"/>
  <c r="K1451" i="27" s="1"/>
  <c r="I1439" i="27"/>
  <c r="K1439" i="27" s="1"/>
  <c r="I1367" i="27"/>
  <c r="K1367" i="27" s="1"/>
  <c r="I1314" i="27"/>
  <c r="K1314" i="27" s="1"/>
  <c r="I1158" i="27"/>
  <c r="K1158" i="27" s="1"/>
  <c r="I860" i="27"/>
  <c r="K860" i="27" s="1"/>
  <c r="P856" i="27"/>
  <c r="R856" i="27" s="1"/>
  <c r="I843" i="27"/>
  <c r="K843" i="27" s="1"/>
  <c r="I775" i="27"/>
  <c r="K775" i="27" s="1"/>
  <c r="I536" i="27"/>
  <c r="K536" i="27" s="1"/>
  <c r="P515" i="27"/>
  <c r="R515" i="27" s="1"/>
  <c r="P498" i="27"/>
  <c r="R498" i="27" s="1"/>
  <c r="I448" i="27"/>
  <c r="K448" i="27" s="1"/>
  <c r="I359" i="27"/>
  <c r="K359" i="27" s="1"/>
  <c r="I338" i="27"/>
  <c r="K338" i="27" s="1"/>
  <c r="I314" i="27"/>
  <c r="K314" i="27" s="1"/>
  <c r="G473" i="25"/>
  <c r="A484" i="25" s="1"/>
  <c r="G484" i="25" s="1"/>
  <c r="D162" i="25"/>
  <c r="F162" i="25" s="1"/>
  <c r="K1269" i="1"/>
  <c r="R1068" i="1"/>
  <c r="K1270" i="1"/>
  <c r="R1630" i="1"/>
  <c r="K2052" i="1"/>
  <c r="K2073" i="1"/>
  <c r="I833" i="11"/>
  <c r="K833" i="11" s="1"/>
  <c r="K927" i="11"/>
  <c r="L928" i="11" s="1"/>
  <c r="I896" i="1"/>
  <c r="K896" i="1" s="1"/>
  <c r="P1050" i="1"/>
  <c r="R1050" i="1" s="1"/>
  <c r="K1062" i="1"/>
  <c r="K1193" i="1"/>
  <c r="C352" i="55" s="1"/>
  <c r="F52" i="71" s="1"/>
  <c r="K1532" i="1"/>
  <c r="K2074" i="1"/>
  <c r="I2539" i="1"/>
  <c r="Z2605" i="1"/>
  <c r="AE2641" i="1"/>
  <c r="AB2650" i="1" s="1"/>
  <c r="AE2646" i="1"/>
  <c r="AB2651" i="1" s="1"/>
  <c r="K2711" i="1"/>
  <c r="P3563" i="1"/>
  <c r="R3563" i="1" s="1"/>
  <c r="K155" i="11"/>
  <c r="K1127" i="11"/>
  <c r="F412" i="64"/>
  <c r="K1248" i="1"/>
  <c r="R1066" i="1"/>
  <c r="R1070" i="1"/>
  <c r="R1320" i="1"/>
  <c r="K1356" i="1"/>
  <c r="K1534" i="1"/>
  <c r="K1887" i="1"/>
  <c r="R1986" i="1"/>
  <c r="K2075" i="1"/>
  <c r="K2469" i="1"/>
  <c r="K2471" i="1" s="1"/>
  <c r="K2473" i="1" s="1"/>
  <c r="C840" i="55" s="1"/>
  <c r="P376" i="11"/>
  <c r="R376" i="11" s="1"/>
  <c r="K633" i="11"/>
  <c r="K880" i="1"/>
  <c r="P951" i="1"/>
  <c r="R951" i="1" s="1"/>
  <c r="AE1066" i="1"/>
  <c r="AG1066" i="1" s="1"/>
  <c r="P1241" i="1"/>
  <c r="R1241" i="1" s="1"/>
  <c r="P1538" i="1"/>
  <c r="R1538" i="1" s="1"/>
  <c r="R1632" i="1"/>
  <c r="I1879" i="1"/>
  <c r="K2049" i="1"/>
  <c r="K2051" i="1"/>
  <c r="K2076" i="1"/>
  <c r="K2116" i="1"/>
  <c r="K2119" i="1" s="1"/>
  <c r="C401" i="55" s="1"/>
  <c r="I2537" i="1"/>
  <c r="P2510" i="1"/>
  <c r="M2514" i="1" s="1"/>
  <c r="K3585" i="1"/>
  <c r="K3586" i="1" s="1"/>
  <c r="K400" i="11"/>
  <c r="K443" i="11"/>
  <c r="K634" i="11"/>
  <c r="W35" i="1"/>
  <c r="W36" i="1"/>
  <c r="W43" i="1"/>
  <c r="W44" i="1" s="1"/>
  <c r="W37" i="1"/>
  <c r="V682" i="1"/>
  <c r="X682" i="1" s="1"/>
  <c r="K2012" i="1"/>
  <c r="P1993" i="1"/>
  <c r="K868" i="1"/>
  <c r="I1588" i="1"/>
  <c r="K1588" i="1" s="1"/>
  <c r="P1305" i="1"/>
  <c r="R1305" i="1" s="1"/>
  <c r="V314" i="1"/>
  <c r="AQ66" i="1" s="1"/>
  <c r="AQ90" i="1" s="1"/>
  <c r="AQ110" i="1" s="1"/>
  <c r="AQ135" i="1" s="1"/>
  <c r="P601" i="27"/>
  <c r="R601" i="27" s="1"/>
  <c r="I1893" i="27"/>
  <c r="K1893" i="27" s="1"/>
  <c r="I2028" i="27"/>
  <c r="K2028" i="27" s="1"/>
  <c r="K2034" i="27" s="1"/>
  <c r="I1913" i="27"/>
  <c r="K1913" i="27" s="1"/>
  <c r="P574" i="27"/>
  <c r="R574" i="27" s="1"/>
  <c r="P588" i="27"/>
  <c r="R588" i="27" s="1"/>
  <c r="I2973" i="1"/>
  <c r="K2837" i="1"/>
  <c r="P1450" i="1"/>
  <c r="R1434" i="1"/>
  <c r="P1451" i="1"/>
  <c r="R1435" i="1"/>
  <c r="M716" i="11"/>
  <c r="C1447" i="55"/>
  <c r="C1483" i="55"/>
  <c r="R1442" i="1"/>
  <c r="P1459" i="1"/>
  <c r="P9" i="27"/>
  <c r="R9" i="27" s="1"/>
  <c r="R14" i="27" s="1"/>
  <c r="P23" i="27"/>
  <c r="R23" i="27" s="1"/>
  <c r="I1254" i="27"/>
  <c r="K1254" i="27" s="1"/>
  <c r="K1007" i="11"/>
  <c r="I124" i="11"/>
  <c r="I127" i="11" s="1"/>
  <c r="I228" i="11"/>
  <c r="K228" i="11" s="1"/>
  <c r="I4010" i="1"/>
  <c r="P1539" i="1" s="1"/>
  <c r="R1539" i="1" s="1"/>
  <c r="K2507" i="1"/>
  <c r="I63" i="1"/>
  <c r="I1226" i="1"/>
  <c r="V765" i="1"/>
  <c r="X765" i="1" s="1"/>
  <c r="V384" i="1"/>
  <c r="V415" i="1" s="1"/>
  <c r="X415" i="1" s="1"/>
  <c r="K1056" i="1"/>
  <c r="K3497" i="27"/>
  <c r="K2736" i="27"/>
  <c r="K2739" i="27" s="1"/>
  <c r="I46" i="27"/>
  <c r="K46" i="27" s="1"/>
  <c r="G447" i="25"/>
  <c r="E437" i="25" s="1"/>
  <c r="G437" i="25" s="1"/>
  <c r="V2598" i="1"/>
  <c r="S2603" i="1" s="1"/>
  <c r="X2603" i="1" s="1"/>
  <c r="K82" i="11"/>
  <c r="X3683" i="1"/>
  <c r="K3343" i="1"/>
  <c r="I3442" i="1"/>
  <c r="K3442" i="1" s="1"/>
  <c r="F23" i="25"/>
  <c r="AG43" i="1"/>
  <c r="I898" i="1"/>
  <c r="K898" i="1" s="1"/>
  <c r="K1682" i="1"/>
  <c r="C365" i="55" s="1"/>
  <c r="R3266" i="1"/>
  <c r="J3855" i="1"/>
  <c r="K120" i="11"/>
  <c r="D552" i="25"/>
  <c r="F552" i="25" s="1"/>
  <c r="K3060" i="1"/>
  <c r="I44" i="1"/>
  <c r="I1645" i="1"/>
  <c r="K1645" i="1" s="1"/>
  <c r="AE1065" i="1"/>
  <c r="AG1065" i="1" s="1"/>
  <c r="K3496" i="27"/>
  <c r="P25" i="27"/>
  <c r="R25" i="27" s="1"/>
  <c r="D111" i="25"/>
  <c r="C21" i="1"/>
  <c r="AF450" i="1" s="1"/>
  <c r="AF451" i="1" s="1"/>
  <c r="AF452" i="1" s="1"/>
  <c r="AF453" i="1" s="1"/>
  <c r="AF454" i="1" s="1"/>
  <c r="AF455" i="1" s="1"/>
  <c r="AF456" i="1" s="1"/>
  <c r="AF457" i="1" s="1"/>
  <c r="AF458" i="1" s="1"/>
  <c r="AF459" i="1" s="1"/>
  <c r="AF460" i="1" s="1"/>
  <c r="AF461" i="1" s="1"/>
  <c r="AF462" i="1" s="1"/>
  <c r="AF463" i="1" s="1"/>
  <c r="P2647" i="1"/>
  <c r="R2647" i="1" s="1"/>
  <c r="X2791" i="1"/>
  <c r="P3157" i="1"/>
  <c r="R3157" i="1" s="1"/>
  <c r="K835" i="11"/>
  <c r="P430" i="27"/>
  <c r="R430" i="27" s="1"/>
  <c r="U20" i="4"/>
  <c r="AR11" i="64"/>
  <c r="AR12" i="64" s="1"/>
  <c r="AR13" i="64" s="1"/>
  <c r="AS13" i="64" s="1"/>
  <c r="AG46" i="1"/>
  <c r="K74" i="11"/>
  <c r="O730" i="11"/>
  <c r="P54" i="11"/>
  <c r="R54" i="11" s="1"/>
  <c r="I106" i="11"/>
  <c r="I1082" i="11"/>
  <c r="K1082" i="11" s="1"/>
  <c r="I1093" i="1"/>
  <c r="I72" i="1"/>
  <c r="I1561" i="1"/>
  <c r="V1282" i="1"/>
  <c r="X1282" i="1" s="1"/>
  <c r="V1412" i="1"/>
  <c r="K2011" i="1"/>
  <c r="I3541" i="1"/>
  <c r="AE3541" i="1" s="1"/>
  <c r="X879" i="1"/>
  <c r="K3341" i="1"/>
  <c r="I3440" i="1"/>
  <c r="K3440" i="1" s="1"/>
  <c r="K3342" i="1"/>
  <c r="I3441" i="1"/>
  <c r="K3441" i="1" s="1"/>
  <c r="K3515" i="27"/>
  <c r="P2060" i="1"/>
  <c r="I4038" i="1"/>
  <c r="K4038" i="1" s="1"/>
  <c r="I1073" i="11"/>
  <c r="K1073" i="11" s="1"/>
  <c r="I201" i="11"/>
  <c r="K201" i="11" s="1"/>
  <c r="P3712" i="1"/>
  <c r="R3712" i="1" s="1"/>
  <c r="V3540" i="1"/>
  <c r="X3540" i="1" s="1"/>
  <c r="P1074" i="1"/>
  <c r="I271" i="1"/>
  <c r="K271" i="1" s="1"/>
  <c r="AH3106" i="1"/>
  <c r="K338" i="1"/>
  <c r="AB1367" i="1"/>
  <c r="P3529" i="1"/>
  <c r="R3529" i="1" s="1"/>
  <c r="R2078" i="1"/>
  <c r="K1020" i="1"/>
  <c r="P1073" i="1"/>
  <c r="K130" i="11"/>
  <c r="P2296" i="1"/>
  <c r="R2296" i="1" s="1"/>
  <c r="K3540" i="1"/>
  <c r="X1359" i="1"/>
  <c r="I808" i="1"/>
  <c r="V643" i="1" s="1"/>
  <c r="I3987" i="1"/>
  <c r="AE3561" i="1"/>
  <c r="P990" i="1"/>
  <c r="R990" i="1" s="1"/>
  <c r="P3396" i="1"/>
  <c r="R3396" i="1" s="1"/>
  <c r="K3539" i="1"/>
  <c r="F264" i="25"/>
  <c r="F265" i="25" s="1"/>
  <c r="K2260" i="27"/>
  <c r="R2854" i="27"/>
  <c r="K419" i="11"/>
  <c r="K420" i="11" s="1"/>
  <c r="K412" i="11" s="1"/>
  <c r="V3609" i="1"/>
  <c r="X3609" i="1" s="1"/>
  <c r="AE3540" i="1"/>
  <c r="AB1357" i="1"/>
  <c r="I27" i="1"/>
  <c r="X3570" i="1"/>
  <c r="K3353" i="27"/>
  <c r="P467" i="27"/>
  <c r="R467" i="27" s="1"/>
  <c r="Q4" i="4"/>
  <c r="Q5" i="4" s="1"/>
  <c r="Q6" i="4" s="1"/>
  <c r="P1071" i="1"/>
  <c r="K936" i="11"/>
  <c r="F37" i="71" s="1"/>
  <c r="K1306" i="1"/>
  <c r="K1972" i="1"/>
  <c r="P2010" i="1"/>
  <c r="P2160" i="1"/>
  <c r="R2160" i="1" s="1"/>
  <c r="K2151" i="1"/>
  <c r="K2302" i="1"/>
  <c r="K2304" i="1" s="1"/>
  <c r="C441" i="55" s="1"/>
  <c r="K227" i="1"/>
  <c r="AD646" i="1"/>
  <c r="AF646" i="1" s="1"/>
  <c r="P2298" i="1"/>
  <c r="R2298" i="1" s="1"/>
  <c r="C1504" i="55"/>
  <c r="K2666" i="1"/>
  <c r="K1506" i="1"/>
  <c r="K1511" i="1" s="1"/>
  <c r="K1513" i="1" s="1"/>
  <c r="C350" i="55" s="1"/>
  <c r="K2428" i="1"/>
  <c r="AB1335" i="1"/>
  <c r="AC1335" i="1" s="1"/>
  <c r="P1974" i="1"/>
  <c r="P2673" i="1"/>
  <c r="R1402" i="1"/>
  <c r="P2027" i="1"/>
  <c r="R2027" i="1" s="1"/>
  <c r="P1862" i="1"/>
  <c r="R1862" i="1" s="1"/>
  <c r="X83" i="1"/>
  <c r="P1860" i="1"/>
  <c r="K506" i="1"/>
  <c r="I3367" i="1"/>
  <c r="K3367" i="1" s="1"/>
  <c r="V2604" i="1"/>
  <c r="Z2602" i="1" s="1"/>
  <c r="I3423" i="1"/>
  <c r="K3423" i="1" s="1"/>
  <c r="P1604" i="1"/>
  <c r="I3271" i="1"/>
  <c r="K3271" i="1" s="1"/>
  <c r="K2152" i="1"/>
  <c r="P859" i="1"/>
  <c r="R859" i="1" s="1"/>
  <c r="P2153" i="1"/>
  <c r="R2153" i="1" s="1"/>
  <c r="K2427" i="1"/>
  <c r="I3465" i="1"/>
  <c r="P3471" i="1" s="1"/>
  <c r="R3471" i="1" s="1"/>
  <c r="K198" i="1"/>
  <c r="K3460" i="1"/>
  <c r="V1303" i="1"/>
  <c r="X1303" i="1" s="1"/>
  <c r="K3172" i="1"/>
  <c r="V685" i="1"/>
  <c r="P1419" i="1"/>
  <c r="P1436" i="1" s="1"/>
  <c r="R1436" i="1" s="1"/>
  <c r="P235" i="1"/>
  <c r="R235" i="1" s="1"/>
  <c r="K1995" i="1"/>
  <c r="K1252" i="1"/>
  <c r="V886" i="1"/>
  <c r="V902" i="1" s="1"/>
  <c r="X902" i="1" s="1"/>
  <c r="AB1361" i="1"/>
  <c r="AD1361" i="1" s="1"/>
  <c r="X1363" i="1"/>
  <c r="K1615" i="1"/>
  <c r="P1616" i="1"/>
  <c r="R1616" i="1" s="1"/>
  <c r="X383" i="1"/>
  <c r="K2636" i="1"/>
  <c r="K383" i="1"/>
  <c r="I3827" i="1"/>
  <c r="K3827" i="1" s="1"/>
  <c r="K1603" i="1"/>
  <c r="F49" i="25"/>
  <c r="P3543" i="1"/>
  <c r="R3543" i="1" s="1"/>
  <c r="K812" i="1"/>
  <c r="P3465" i="1"/>
  <c r="R3465" i="1" s="1"/>
  <c r="I495" i="27"/>
  <c r="K495" i="27" s="1"/>
  <c r="K503" i="27" s="1"/>
  <c r="K505" i="27" s="1"/>
  <c r="I1235" i="27"/>
  <c r="K1235" i="27" s="1"/>
  <c r="K1242" i="27" s="1"/>
  <c r="K1244" i="27" s="1"/>
  <c r="C729" i="55"/>
  <c r="I899" i="11"/>
  <c r="I916" i="11" s="1"/>
  <c r="K916" i="11" s="1"/>
  <c r="K918" i="11" s="1"/>
  <c r="K919" i="11" s="1"/>
  <c r="K912" i="11" s="1"/>
  <c r="K792" i="11"/>
  <c r="P793" i="11"/>
  <c r="AB1418" i="1"/>
  <c r="AD1418" i="1" s="1"/>
  <c r="AD1401" i="1"/>
  <c r="K901" i="11"/>
  <c r="I917" i="11"/>
  <c r="K917" i="11" s="1"/>
  <c r="I244" i="11"/>
  <c r="I1109" i="11"/>
  <c r="K912" i="27"/>
  <c r="I2556" i="27"/>
  <c r="K2261" i="27"/>
  <c r="I2663" i="27"/>
  <c r="K2663" i="27" s="1"/>
  <c r="I142" i="11"/>
  <c r="I1083" i="11"/>
  <c r="K1083" i="11" s="1"/>
  <c r="K121" i="11"/>
  <c r="V3556" i="1"/>
  <c r="X1402" i="1"/>
  <c r="AB1400" i="1"/>
  <c r="V1419" i="1"/>
  <c r="X1419" i="1" s="1"/>
  <c r="V768" i="1"/>
  <c r="X768" i="1" s="1"/>
  <c r="AE369" i="1"/>
  <c r="AG369" i="1" s="1"/>
  <c r="X3138" i="1"/>
  <c r="P1144" i="1"/>
  <c r="P1175" i="1" s="1"/>
  <c r="R1175" i="1" s="1"/>
  <c r="K3991" i="1"/>
  <c r="V3541" i="1"/>
  <c r="P3545" i="1"/>
  <c r="R3545" i="1" s="1"/>
  <c r="K3541" i="1"/>
  <c r="X3161" i="1"/>
  <c r="D550" i="25"/>
  <c r="K2977" i="1"/>
  <c r="P2984" i="1"/>
  <c r="R2984" i="1" s="1"/>
  <c r="I3062" i="1"/>
  <c r="P1220" i="1"/>
  <c r="K1225" i="1"/>
  <c r="I3643" i="1"/>
  <c r="K1648" i="1"/>
  <c r="P1176" i="1"/>
  <c r="R1176" i="1" s="1"/>
  <c r="R1145" i="1"/>
  <c r="K1973" i="1"/>
  <c r="P1973" i="1"/>
  <c r="I3731" i="27"/>
  <c r="K3731" i="27" s="1"/>
  <c r="K3624" i="27"/>
  <c r="P3504" i="27"/>
  <c r="R3504" i="27" s="1"/>
  <c r="I3571" i="27"/>
  <c r="K3571" i="27" s="1"/>
  <c r="I3588" i="27"/>
  <c r="K3588" i="27" s="1"/>
  <c r="I3809" i="27"/>
  <c r="I3006" i="27"/>
  <c r="K3006" i="27" s="1"/>
  <c r="K2855" i="27"/>
  <c r="I4018" i="1"/>
  <c r="I4006" i="1"/>
  <c r="K4006" i="1" s="1"/>
  <c r="X3545" i="1"/>
  <c r="V3525" i="1"/>
  <c r="X3525" i="1" s="1"/>
  <c r="P3366" i="1"/>
  <c r="R3366" i="1" s="1"/>
  <c r="R3297" i="1"/>
  <c r="P3400" i="1"/>
  <c r="R3400" i="1" s="1"/>
  <c r="K2976" i="1"/>
  <c r="P2983" i="1"/>
  <c r="R2983" i="1" s="1"/>
  <c r="I3747" i="1"/>
  <c r="R2433" i="1"/>
  <c r="K2681" i="1"/>
  <c r="I2682" i="1"/>
  <c r="K329" i="11"/>
  <c r="K330" i="11" s="1"/>
  <c r="K352" i="11" s="1"/>
  <c r="K353" i="11" s="1"/>
  <c r="AC12" i="27"/>
  <c r="C71" i="27" s="1"/>
  <c r="K4010" i="1"/>
  <c r="D48" i="50"/>
  <c r="D111" i="50" s="1"/>
  <c r="F111" i="50" s="1"/>
  <c r="R1458" i="1"/>
  <c r="I4022" i="1"/>
  <c r="I3988" i="1"/>
  <c r="K2426" i="1"/>
  <c r="I22" i="11"/>
  <c r="K22" i="11" s="1"/>
  <c r="I2147" i="1"/>
  <c r="I1576" i="1"/>
  <c r="K1576" i="1" s="1"/>
  <c r="I1589" i="1"/>
  <c r="K1589" i="1" s="1"/>
  <c r="I2127" i="1"/>
  <c r="K2127" i="1" s="1"/>
  <c r="I1284" i="1"/>
  <c r="K1284" i="1" s="1"/>
  <c r="I504" i="1"/>
  <c r="I9" i="1"/>
  <c r="I53" i="1"/>
  <c r="I2696" i="1"/>
  <c r="K2696" i="1" s="1"/>
  <c r="K437" i="11"/>
  <c r="K438" i="11" s="1"/>
  <c r="K430" i="11" s="1"/>
  <c r="V736" i="1"/>
  <c r="X736" i="1" s="1"/>
  <c r="K3987" i="1"/>
  <c r="I3061" i="1"/>
  <c r="P1432" i="1"/>
  <c r="R1415" i="1"/>
  <c r="I3076" i="1"/>
  <c r="K3076" i="1" s="1"/>
  <c r="P3064" i="1"/>
  <c r="R3064" i="1" s="1"/>
  <c r="I3056" i="1"/>
  <c r="K3181" i="1"/>
  <c r="K3168" i="1"/>
  <c r="K2145" i="1"/>
  <c r="P1335" i="1"/>
  <c r="R1335" i="1" s="1"/>
  <c r="V805" i="1"/>
  <c r="I1782" i="1"/>
  <c r="K1782" i="1" s="1"/>
  <c r="V884" i="1"/>
  <c r="X1370" i="1"/>
  <c r="I3323" i="1"/>
  <c r="R3263" i="1"/>
  <c r="X3135" i="1"/>
  <c r="V3160" i="1"/>
  <c r="V1395" i="1"/>
  <c r="X1378" i="1"/>
  <c r="AQ3105" i="1"/>
  <c r="AH3105" i="1"/>
  <c r="AH3109" i="1" s="1"/>
  <c r="K228" i="1"/>
  <c r="P234" i="1"/>
  <c r="R234" i="1" s="1"/>
  <c r="X3672" i="1"/>
  <c r="AE3666" i="1"/>
  <c r="AG3666" i="1" s="1"/>
  <c r="I3308" i="1"/>
  <c r="K3308" i="1" s="1"/>
  <c r="V868" i="1"/>
  <c r="X868" i="1" s="1"/>
  <c r="P2436" i="1"/>
  <c r="R2436" i="1" s="1"/>
  <c r="K2429" i="1"/>
  <c r="V680" i="1"/>
  <c r="V766" i="1" s="1"/>
  <c r="X766" i="1" s="1"/>
  <c r="X710" i="1"/>
  <c r="Z710" i="1" s="1"/>
  <c r="P10" i="27"/>
  <c r="R10" i="27" s="1"/>
  <c r="I1684" i="27"/>
  <c r="K1684" i="27" s="1"/>
  <c r="D667" i="64"/>
  <c r="F667" i="64" s="1"/>
  <c r="F270" i="32"/>
  <c r="F24" i="25"/>
  <c r="I3700" i="27"/>
  <c r="I3709" i="27" s="1"/>
  <c r="K3709" i="27" s="1"/>
  <c r="K3712" i="27" s="1"/>
  <c r="P3505" i="27"/>
  <c r="R3505" i="27" s="1"/>
  <c r="K3505" i="27"/>
  <c r="K2371" i="27"/>
  <c r="I2388" i="27"/>
  <c r="K2388" i="27" s="1"/>
  <c r="K1152" i="1"/>
  <c r="K1154" i="1" s="1"/>
  <c r="C1456" i="55" s="1"/>
  <c r="K866" i="1"/>
  <c r="I3927" i="1"/>
  <c r="V866" i="1"/>
  <c r="X866" i="1" s="1"/>
  <c r="K315" i="1"/>
  <c r="V315" i="1"/>
  <c r="I2971" i="1"/>
  <c r="K2835" i="1"/>
  <c r="K3102" i="1"/>
  <c r="P2076" i="1"/>
  <c r="X3671" i="1"/>
  <c r="AE3665" i="1"/>
  <c r="AG3665" i="1" s="1"/>
  <c r="P3192" i="1"/>
  <c r="P3261" i="1" s="1"/>
  <c r="I2817" i="1"/>
  <c r="P2824" i="1" s="1"/>
  <c r="R2824" i="1" s="1"/>
  <c r="I3660" i="1"/>
  <c r="R431" i="1"/>
  <c r="W11" i="64"/>
  <c r="W13" i="64" s="1"/>
  <c r="D668" i="64"/>
  <c r="F668" i="64" s="1"/>
  <c r="F591" i="64"/>
  <c r="I3266" i="27"/>
  <c r="K3248" i="27"/>
  <c r="I3029" i="27"/>
  <c r="K3029" i="27" s="1"/>
  <c r="I2932" i="27"/>
  <c r="V681" i="1"/>
  <c r="D47" i="50" s="1"/>
  <c r="D47" i="32"/>
  <c r="F47" i="32" s="1"/>
  <c r="H47" i="32" s="1"/>
  <c r="I1287" i="1"/>
  <c r="K1287" i="1" s="1"/>
  <c r="K1273" i="1"/>
  <c r="I2719" i="1"/>
  <c r="K2719" i="1" s="1"/>
  <c r="K2713" i="1"/>
  <c r="AE3539" i="1"/>
  <c r="AE3555" i="1" s="1"/>
  <c r="AG3555" i="1" s="1"/>
  <c r="V3539" i="1"/>
  <c r="P1633" i="1"/>
  <c r="K1631" i="1"/>
  <c r="K3121" i="1"/>
  <c r="K3123" i="1" s="1"/>
  <c r="P3121" i="1"/>
  <c r="R3121" i="1" s="1"/>
  <c r="R3123" i="1" s="1"/>
  <c r="T3123" i="1" s="1"/>
  <c r="F36" i="25"/>
  <c r="D59" i="25"/>
  <c r="P13" i="64"/>
  <c r="K2959" i="27"/>
  <c r="I3912" i="27"/>
  <c r="I2986" i="27"/>
  <c r="K2986" i="27" s="1"/>
  <c r="I3909" i="27"/>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I1236" i="27"/>
  <c r="K1236" i="27" s="1"/>
  <c r="I1492" i="27"/>
  <c r="K1492" i="27" s="1"/>
  <c r="K1498" i="27" s="1"/>
  <c r="P431" i="27"/>
  <c r="R431" i="27" s="1"/>
  <c r="I474" i="27"/>
  <c r="K474" i="27" s="1"/>
  <c r="F620" i="25"/>
  <c r="G505" i="25"/>
  <c r="E190" i="25"/>
  <c r="I3503" i="27"/>
  <c r="P2853" i="27"/>
  <c r="R2847" i="27"/>
  <c r="I27" i="27"/>
  <c r="K27" i="27" s="1"/>
  <c r="K32" i="27" s="1"/>
  <c r="I3616" i="27"/>
  <c r="I3115" i="27"/>
  <c r="I2595" i="27"/>
  <c r="K2595" i="27" s="1"/>
  <c r="I2590" i="27"/>
  <c r="K2590" i="27" s="1"/>
  <c r="K2559" i="27"/>
  <c r="I2529" i="27"/>
  <c r="K2529" i="27" s="1"/>
  <c r="I1740" i="27"/>
  <c r="K1740" i="27" s="1"/>
  <c r="I1520" i="27"/>
  <c r="K1520" i="27" s="1"/>
  <c r="I592" i="27"/>
  <c r="K592" i="27" s="1"/>
  <c r="I535" i="27"/>
  <c r="K535" i="27" s="1"/>
  <c r="P468" i="27"/>
  <c r="R468" i="27" s="1"/>
  <c r="R479" i="27" s="1"/>
  <c r="R481"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49" i="1"/>
  <c r="K751" i="1" s="1"/>
  <c r="I757" i="1" s="1"/>
  <c r="K757" i="1" s="1"/>
  <c r="I777" i="1" s="1"/>
  <c r="K777" i="1" s="1"/>
  <c r="K792" i="1" s="1"/>
  <c r="K794" i="1" s="1"/>
  <c r="K3575" i="1"/>
  <c r="K3576" i="1" s="1"/>
  <c r="I3577" i="1" s="1"/>
  <c r="K730" i="1"/>
  <c r="K732" i="1" s="1"/>
  <c r="K801" i="1" s="1"/>
  <c r="P2870" i="27"/>
  <c r="R2870" i="27" s="1"/>
  <c r="I9" i="27"/>
  <c r="K9" i="27" s="1"/>
  <c r="K2561" i="27"/>
  <c r="R3627" i="27"/>
  <c r="R3628" i="27" s="1"/>
  <c r="K2935" i="27"/>
  <c r="I2070" i="27"/>
  <c r="K2070" i="27" s="1"/>
  <c r="K2079" i="27" s="1"/>
  <c r="K2081" i="27" s="1"/>
  <c r="I2050" i="27"/>
  <c r="K2050" i="27" s="1"/>
  <c r="I1703" i="27"/>
  <c r="K1703" i="27" s="1"/>
  <c r="I1576" i="27"/>
  <c r="K1576" i="27" s="1"/>
  <c r="I1546" i="27"/>
  <c r="K1546" i="27" s="1"/>
  <c r="I1176" i="27"/>
  <c r="K1176" i="27" s="1"/>
  <c r="K1013" i="27"/>
  <c r="I496" i="27"/>
  <c r="K496" i="27" s="1"/>
  <c r="I175" i="27"/>
  <c r="K175" i="27" s="1"/>
  <c r="I72" i="27"/>
  <c r="K72" i="27" s="1"/>
  <c r="K77" i="27" s="1"/>
  <c r="I949" i="27"/>
  <c r="K949" i="27" s="1"/>
  <c r="K957" i="27" s="1"/>
  <c r="K95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G99" i="50"/>
  <c r="J3742" i="27"/>
  <c r="K3742" i="27" s="1"/>
  <c r="K3760" i="27" s="1"/>
  <c r="E677" i="25"/>
  <c r="A690" i="25" s="1"/>
  <c r="E534" i="25"/>
  <c r="A546" i="25" s="1"/>
  <c r="AF24" i="64"/>
  <c r="AF18" i="64" s="1"/>
  <c r="E5" i="4"/>
  <c r="E6" i="4" s="1"/>
  <c r="H4" i="4"/>
  <c r="H5" i="4" s="1"/>
  <c r="H6" i="4" s="1"/>
  <c r="R1393" i="1"/>
  <c r="P2858" i="1"/>
  <c r="R2858" i="1" s="1"/>
  <c r="R3265" i="1"/>
  <c r="I3745" i="1"/>
  <c r="K3745" i="1" s="1"/>
  <c r="I167" i="11"/>
  <c r="K167" i="11" s="1"/>
  <c r="I172" i="11"/>
  <c r="K172" i="11" s="1"/>
  <c r="I174" i="11"/>
  <c r="K174" i="11" s="1"/>
  <c r="K1059" i="1"/>
  <c r="I2314" i="1"/>
  <c r="K2314" i="1" s="1"/>
  <c r="K2318" i="1" s="1"/>
  <c r="R3199" i="1"/>
  <c r="I102" i="11"/>
  <c r="K270" i="11"/>
  <c r="K665" i="11"/>
  <c r="D282" i="64"/>
  <c r="F282" i="64" s="1"/>
  <c r="F417" i="64"/>
  <c r="AK46" i="1"/>
  <c r="X36" i="1"/>
  <c r="X37" i="1" s="1"/>
  <c r="P1052" i="1"/>
  <c r="R1052" i="1" s="1"/>
  <c r="AE1194" i="1"/>
  <c r="P2051" i="1"/>
  <c r="M2074" i="1" s="1"/>
  <c r="P2299" i="1"/>
  <c r="R2299" i="1" s="1"/>
  <c r="X2788" i="1"/>
  <c r="I4068" i="1"/>
  <c r="K4068" i="1" s="1"/>
  <c r="I3979" i="1"/>
  <c r="K3979" i="1" s="1"/>
  <c r="P19" i="11"/>
  <c r="P55" i="11"/>
  <c r="R55" i="11" s="1"/>
  <c r="K76" i="11"/>
  <c r="K169" i="11"/>
  <c r="P296" i="11"/>
  <c r="R296" i="11" s="1"/>
  <c r="S410" i="11"/>
  <c r="K428" i="11"/>
  <c r="I831" i="11"/>
  <c r="I704" i="11"/>
  <c r="K704" i="11" s="1"/>
  <c r="E25" i="50"/>
  <c r="E89" i="50" s="1"/>
  <c r="E24" i="50"/>
  <c r="E88" i="50" s="1"/>
  <c r="E148" i="50" s="1"/>
  <c r="F148" i="50" s="1"/>
  <c r="C36" i="1"/>
  <c r="K134" i="1" s="1"/>
  <c r="C24" i="55" s="1"/>
  <c r="P3227" i="1"/>
  <c r="I3212" i="1"/>
  <c r="I3198" i="1"/>
  <c r="C461" i="1"/>
  <c r="AJ46" i="1"/>
  <c r="C24" i="1" s="1"/>
  <c r="C23" i="1"/>
  <c r="V901" i="1"/>
  <c r="X901" i="1" s="1"/>
  <c r="P991" i="1"/>
  <c r="R991" i="1" s="1"/>
  <c r="P995" i="1"/>
  <c r="R995" i="1" s="1"/>
  <c r="AE1068" i="1"/>
  <c r="AG1068" i="1" s="1"/>
  <c r="AB1359" i="1"/>
  <c r="AB1360" i="1"/>
  <c r="P1431" i="1"/>
  <c r="P2065" i="1"/>
  <c r="M2077" i="1" s="1"/>
  <c r="R2079" i="1"/>
  <c r="AE2622" i="1"/>
  <c r="AG2622" i="1" s="1"/>
  <c r="X2787" i="1"/>
  <c r="U3150" i="1"/>
  <c r="R3264" i="1"/>
  <c r="P3333" i="1"/>
  <c r="R3333" i="1" s="1"/>
  <c r="J4052" i="1"/>
  <c r="F4064" i="1" s="1"/>
  <c r="P27" i="11"/>
  <c r="R27" i="11" s="1"/>
  <c r="I988" i="11"/>
  <c r="K988" i="11" s="1"/>
  <c r="P48" i="11"/>
  <c r="R48" i="11" s="1"/>
  <c r="K339" i="11"/>
  <c r="I576" i="11"/>
  <c r="L731" i="11"/>
  <c r="R795" i="11"/>
  <c r="P820" i="11"/>
  <c r="R820" i="11" s="1"/>
  <c r="K226" i="11"/>
  <c r="I1070" i="11"/>
  <c r="K1070" i="11" s="1"/>
  <c r="K899" i="11"/>
  <c r="K902" i="11" s="1"/>
  <c r="K895" i="11" s="1"/>
  <c r="K896" i="11" s="1"/>
  <c r="C1491" i="55" s="1"/>
  <c r="K467" i="11"/>
  <c r="I492" i="11"/>
  <c r="K492" i="11" s="1"/>
  <c r="K493" i="11" s="1"/>
  <c r="K487"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794" i="11"/>
  <c r="I4025" i="1"/>
  <c r="G97" i="32"/>
  <c r="G99" i="32" s="1"/>
  <c r="E157" i="32"/>
  <c r="G157" i="32" s="1"/>
  <c r="G159" i="32" s="1"/>
  <c r="A26" i="32"/>
  <c r="F26" i="32" s="1"/>
  <c r="F25" i="32"/>
  <c r="M881" i="11"/>
  <c r="K2285" i="1"/>
  <c r="C440" i="55" s="1"/>
  <c r="P605" i="27"/>
  <c r="R605" i="27" s="1"/>
  <c r="I1575" i="27"/>
  <c r="K1575" i="27" s="1"/>
  <c r="K1582" i="27" s="1"/>
  <c r="K1584" i="27" s="1"/>
  <c r="I225" i="11"/>
  <c r="K225" i="11" s="1"/>
  <c r="I853" i="11"/>
  <c r="K83" i="11"/>
  <c r="I242" i="11"/>
  <c r="K2554" i="27"/>
  <c r="I258" i="11"/>
  <c r="K258" i="11" s="1"/>
  <c r="I39" i="25"/>
  <c r="P3618" i="27"/>
  <c r="R3618" i="27"/>
  <c r="V3602" i="1"/>
  <c r="X3602" i="1" s="1"/>
  <c r="V803" i="1"/>
  <c r="P3402" i="1"/>
  <c r="R3402"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K564" i="27" s="1"/>
  <c r="K567" i="27" s="1"/>
  <c r="I568" i="27" s="1"/>
  <c r="K568" i="27" s="1"/>
  <c r="I569" i="27" s="1"/>
  <c r="K569" i="27" s="1"/>
  <c r="I570" i="27" s="1"/>
  <c r="K570" i="27" s="1"/>
  <c r="I571" i="27" s="1"/>
  <c r="K571" i="27" s="1"/>
  <c r="I572" i="27" s="1"/>
  <c r="K572" i="27" s="1"/>
  <c r="P348" i="27"/>
  <c r="R348" i="27" s="1"/>
  <c r="I411" i="27"/>
  <c r="K411" i="27" s="1"/>
  <c r="I426" i="27"/>
  <c r="K426" i="27" s="1"/>
  <c r="P534" i="27"/>
  <c r="R534" i="27" s="1"/>
  <c r="G329" i="25"/>
  <c r="G330" i="25" s="1"/>
  <c r="G331" i="25" s="1"/>
  <c r="F138" i="25"/>
  <c r="D161" i="25"/>
  <c r="F161" i="25" s="1"/>
  <c r="D304" i="25"/>
  <c r="F304" i="25" s="1"/>
  <c r="G35" i="50"/>
  <c r="E150" i="32"/>
  <c r="F150" i="32" s="1"/>
  <c r="I3494" i="27"/>
  <c r="K2804" i="27"/>
  <c r="K2710" i="27"/>
  <c r="K2711" i="27" s="1"/>
  <c r="K2703" i="27" s="1"/>
  <c r="K2705" i="27" s="1"/>
  <c r="K1138" i="27"/>
  <c r="K1140" i="27" s="1"/>
  <c r="P722" i="27"/>
  <c r="R722" i="27" s="1"/>
  <c r="R729" i="27" s="1"/>
  <c r="R731" i="27" s="1"/>
  <c r="P706" i="27"/>
  <c r="R706" i="27" s="1"/>
  <c r="R713" i="27" s="1"/>
  <c r="R715"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4" i="1"/>
  <c r="C310" i="55" s="1"/>
  <c r="K3241" i="1"/>
  <c r="L3207"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P533" i="27"/>
  <c r="R533" i="27" s="1"/>
  <c r="P449" i="27"/>
  <c r="R449" i="27" s="1"/>
  <c r="E641" i="25"/>
  <c r="A654" i="25" s="1"/>
  <c r="D292" i="64"/>
  <c r="F292" i="64" s="1"/>
  <c r="E837" i="64"/>
  <c r="F139" i="64"/>
  <c r="E829" i="64"/>
  <c r="F135" i="64"/>
  <c r="E825" i="64"/>
  <c r="G823" i="64"/>
  <c r="E878" i="64"/>
  <c r="G878" i="64" s="1"/>
  <c r="AF16" i="64"/>
  <c r="AF17" i="64" s="1"/>
  <c r="AF19" i="64" s="1"/>
  <c r="K638" i="64"/>
  <c r="V3538" i="1"/>
  <c r="P3542" i="1"/>
  <c r="R3542" i="1" s="1"/>
  <c r="I791" i="11"/>
  <c r="I739" i="11"/>
  <c r="K739" i="11" s="1"/>
  <c r="K672" i="11"/>
  <c r="F146" i="64"/>
  <c r="E835" i="64"/>
  <c r="D291" i="64"/>
  <c r="D414" i="64" s="1"/>
  <c r="D539" i="64" s="1"/>
  <c r="F539" i="64" s="1"/>
  <c r="E836" i="64"/>
  <c r="F138" i="64"/>
  <c r="E828" i="64"/>
  <c r="F151" i="64"/>
  <c r="E840" i="64"/>
  <c r="J638" i="64"/>
  <c r="F11" i="64"/>
  <c r="W24" i="64"/>
  <c r="K684" i="1"/>
  <c r="I686" i="1" s="1"/>
  <c r="K686" i="1" s="1"/>
  <c r="P989" i="1"/>
  <c r="R989" i="1" s="1"/>
  <c r="K1024" i="1"/>
  <c r="K1055" i="1"/>
  <c r="X1356" i="1"/>
  <c r="X1357" i="1"/>
  <c r="K1547" i="1"/>
  <c r="K1551" i="1" s="1"/>
  <c r="K1553" i="1" s="1"/>
  <c r="I2538" i="1"/>
  <c r="I2486" i="1"/>
  <c r="AE2607" i="1"/>
  <c r="AB2616" i="1" s="1"/>
  <c r="P3193" i="1"/>
  <c r="R3193" i="1" s="1"/>
  <c r="K2637" i="1"/>
  <c r="I3074" i="1"/>
  <c r="P3062" i="1"/>
  <c r="R3062" i="1" s="1"/>
  <c r="K3151" i="1"/>
  <c r="K3155" i="1"/>
  <c r="K3940" i="1"/>
  <c r="I740" i="11"/>
  <c r="K740" i="11" s="1"/>
  <c r="I757" i="11"/>
  <c r="K757" i="11" s="1"/>
  <c r="K675" i="11"/>
  <c r="G357" i="25"/>
  <c r="E347" i="25" s="1"/>
  <c r="G347" i="25" s="1"/>
  <c r="G349" i="25" s="1"/>
  <c r="G350" i="25" s="1"/>
  <c r="C742" i="55" s="1"/>
  <c r="F145" i="64"/>
  <c r="E834" i="64"/>
  <c r="F26" i="64"/>
  <c r="F137" i="64"/>
  <c r="E827" i="64"/>
  <c r="G824" i="64"/>
  <c r="E879" i="64"/>
  <c r="G879" i="64" s="1"/>
  <c r="E13" i="4"/>
  <c r="Z38" i="1" s="1"/>
  <c r="AC38" i="1" s="1"/>
  <c r="AI43" i="1"/>
  <c r="P948" i="1"/>
  <c r="R948" i="1" s="1"/>
  <c r="K1670" i="1"/>
  <c r="C364" i="55" s="1"/>
  <c r="P2675" i="1"/>
  <c r="R2826"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F149" i="64"/>
  <c r="E838" i="64"/>
  <c r="F136" i="64"/>
  <c r="E826" i="64"/>
  <c r="F133" i="64"/>
  <c r="F129" i="64"/>
  <c r="P30" i="64"/>
  <c r="P31" i="64" s="1"/>
  <c r="P23" i="64" s="1"/>
  <c r="P24" i="64" s="1"/>
  <c r="Z39" i="1"/>
  <c r="AC39" i="1" s="1"/>
  <c r="P125" i="1" s="1"/>
  <c r="R125" i="1" s="1"/>
  <c r="E12" i="4"/>
  <c r="Z9" i="1" s="1"/>
  <c r="E10" i="4"/>
  <c r="Z11" i="1" s="1"/>
  <c r="N4" i="4"/>
  <c r="N5" i="4" s="1"/>
  <c r="N6" i="4" s="1"/>
  <c r="AH43" i="1"/>
  <c r="M563" i="1"/>
  <c r="P1053" i="1"/>
  <c r="R1053" i="1" s="1"/>
  <c r="V1353" i="1"/>
  <c r="R1357" i="1"/>
  <c r="R1358" i="1" s="1"/>
  <c r="R1363" i="1" s="1"/>
  <c r="R1365" i="1" s="1"/>
  <c r="R2080" i="1"/>
  <c r="K2098" i="1"/>
  <c r="K2642" i="1"/>
  <c r="K2668" i="1"/>
  <c r="X2786" i="1"/>
  <c r="V3122" i="1"/>
  <c r="R3231" i="1"/>
  <c r="I3829" i="1"/>
  <c r="K3829" i="1" s="1"/>
  <c r="K3462" i="1"/>
  <c r="AB3539" i="1"/>
  <c r="AB3538" i="1"/>
  <c r="AG3538" i="1" s="1"/>
  <c r="C292" i="64"/>
  <c r="C415" i="64" s="1"/>
  <c r="C837" i="64"/>
  <c r="C892" i="64" s="1"/>
  <c r="K42" i="11"/>
  <c r="I574" i="11"/>
  <c r="N732" i="11"/>
  <c r="K982" i="11"/>
  <c r="I1113" i="11"/>
  <c r="P2056" i="1"/>
  <c r="P2061" i="1" s="1"/>
  <c r="K2639" i="1"/>
  <c r="X2789" i="1"/>
  <c r="R2827" i="1"/>
  <c r="R3230" i="1"/>
  <c r="X3653" i="1"/>
  <c r="K3691" i="1"/>
  <c r="G3899" i="1"/>
  <c r="G3900" i="1" s="1"/>
  <c r="K666" i="11"/>
  <c r="K3055" i="1"/>
  <c r="K3148" i="1"/>
  <c r="K3538" i="1"/>
  <c r="K3692" i="1"/>
  <c r="H3869" i="1"/>
  <c r="E3873" i="1" s="1"/>
  <c r="R837" i="11"/>
  <c r="X479" i="1"/>
  <c r="AS66" i="1"/>
  <c r="AE339" i="1"/>
  <c r="AG339" i="1" s="1"/>
  <c r="X680" i="1"/>
  <c r="K1944" i="1"/>
  <c r="V316" i="1"/>
  <c r="AE316" i="1" s="1"/>
  <c r="AG316" i="1" s="1"/>
  <c r="V735" i="1"/>
  <c r="X735" i="1" s="1"/>
  <c r="K1994" i="1"/>
  <c r="I3463" i="1"/>
  <c r="P3469" i="1" s="1"/>
  <c r="R3469" i="1" s="1"/>
  <c r="P1178" i="1"/>
  <c r="R1178" i="1" s="1"/>
  <c r="AE2618" i="1"/>
  <c r="AG2618" i="1" s="1"/>
  <c r="AE392" i="1"/>
  <c r="P1114" i="1"/>
  <c r="C23" i="55"/>
  <c r="I3825" i="1"/>
  <c r="K3825" i="1" s="1"/>
  <c r="K1847" i="1"/>
  <c r="K2028" i="1"/>
  <c r="V554" i="1"/>
  <c r="X554" i="1" s="1"/>
  <c r="D71" i="25"/>
  <c r="AE2652" i="1"/>
  <c r="AG2652" i="1" s="1"/>
  <c r="P3464" i="1"/>
  <c r="R3464" i="1" s="1"/>
  <c r="P1863" i="1"/>
  <c r="V1287" i="1"/>
  <c r="X1287" i="1" s="1"/>
  <c r="V359" i="1"/>
  <c r="P3507" i="1"/>
  <c r="R3507" i="1" s="1"/>
  <c r="R3509" i="1" s="1"/>
  <c r="R3510" i="1" s="1"/>
  <c r="I2902" i="1"/>
  <c r="K2902" i="1" s="1"/>
  <c r="AB1333" i="1"/>
  <c r="AC1333" i="1" s="1"/>
  <c r="R432" i="1"/>
  <c r="K3661" i="1"/>
  <c r="I3682" i="1"/>
  <c r="K3682" i="1" s="1"/>
  <c r="AB1191" i="1"/>
  <c r="R3192" i="1"/>
  <c r="X338" i="1"/>
  <c r="R1552" i="1"/>
  <c r="P1541" i="1" s="1"/>
  <c r="R1541" i="1" s="1"/>
  <c r="AC25" i="1"/>
  <c r="C87" i="1" s="1"/>
  <c r="Z24" i="1"/>
  <c r="AC24" i="1" s="1"/>
  <c r="C86" i="1" s="1"/>
  <c r="Z26" i="1"/>
  <c r="K1807" i="1"/>
  <c r="E212" i="32"/>
  <c r="F212" i="32" s="1"/>
  <c r="V821" i="1"/>
  <c r="X821" i="1" s="1"/>
  <c r="X806" i="1"/>
  <c r="R1220" i="1"/>
  <c r="T1220" i="1" s="1"/>
  <c r="P1262" i="1"/>
  <c r="P1225" i="1"/>
  <c r="AI530" i="1"/>
  <c r="AI554" i="1" s="1"/>
  <c r="AD530" i="1"/>
  <c r="AB554" i="1"/>
  <c r="K3565" i="1"/>
  <c r="P3568" i="1"/>
  <c r="R3568" i="1" s="1"/>
  <c r="X358" i="1"/>
  <c r="D109" i="32"/>
  <c r="F109" i="32" s="1"/>
  <c r="I3182" i="1"/>
  <c r="K3056" i="1"/>
  <c r="V739" i="1"/>
  <c r="X739" i="1" s="1"/>
  <c r="I3832" i="1"/>
  <c r="K3832" i="1" s="1"/>
  <c r="X384" i="1"/>
  <c r="D51" i="32"/>
  <c r="R3294" i="1"/>
  <c r="P2375" i="1"/>
  <c r="R2375" i="1" s="1"/>
  <c r="I3170" i="1"/>
  <c r="P1219" i="1"/>
  <c r="I3171" i="1"/>
  <c r="V1288" i="1"/>
  <c r="X1288" i="1" s="1"/>
  <c r="K1254" i="1"/>
  <c r="P1321" i="1"/>
  <c r="X3670" i="1"/>
  <c r="R382" i="1"/>
  <c r="R384" i="1" s="1"/>
  <c r="C1501" i="55" s="1"/>
  <c r="V3555" i="1"/>
  <c r="K3465" i="1"/>
  <c r="X530" i="1"/>
  <c r="P2009" i="1"/>
  <c r="P126" i="1"/>
  <c r="R126" i="1" s="1"/>
  <c r="AE3664" i="1"/>
  <c r="AG3664" i="1" s="1"/>
  <c r="D73" i="25"/>
  <c r="K3772" i="1"/>
  <c r="K3774" i="1" s="1"/>
  <c r="R284" i="11"/>
  <c r="F48" i="50"/>
  <c r="I3355" i="1"/>
  <c r="K3368" i="1"/>
  <c r="K3185" i="1"/>
  <c r="X3133" i="1"/>
  <c r="V3251" i="1"/>
  <c r="X3251" i="1" s="1"/>
  <c r="K1538" i="1"/>
  <c r="K1540" i="1" s="1"/>
  <c r="I3109" i="1" s="1"/>
  <c r="I3808" i="1"/>
  <c r="K3808" i="1" s="1"/>
  <c r="C724" i="55"/>
  <c r="V199" i="1"/>
  <c r="X199" i="1" s="1"/>
  <c r="R199" i="1"/>
  <c r="X3158" i="1"/>
  <c r="V1323" i="1"/>
  <c r="X1323" i="1" s="1"/>
  <c r="K3104" i="1"/>
  <c r="P198" i="1"/>
  <c r="K199" i="1"/>
  <c r="K3725" i="1"/>
  <c r="I3717" i="1" s="1"/>
  <c r="K3717" i="1" s="1"/>
  <c r="K3718" i="1" s="1"/>
  <c r="K3719" i="1" s="1"/>
  <c r="K3346" i="1"/>
  <c r="K3348" i="1" s="1"/>
  <c r="C727" i="55" s="1"/>
  <c r="F42" i="71" s="1"/>
  <c r="P167" i="1"/>
  <c r="R167" i="1" s="1"/>
  <c r="I2336" i="1"/>
  <c r="K2336" i="1" s="1"/>
  <c r="K2337" i="1" s="1"/>
  <c r="K2338" i="1" s="1"/>
  <c r="I2342" i="1" s="1"/>
  <c r="K2342" i="1" s="1"/>
  <c r="K1524" i="1"/>
  <c r="K1526" i="1" s="1"/>
  <c r="C669" i="55" s="1"/>
  <c r="L2759" i="1"/>
  <c r="K2793" i="1" s="1"/>
  <c r="I3547" i="1"/>
  <c r="AK530" i="1"/>
  <c r="K3708" i="1"/>
  <c r="K3709" i="1" s="1"/>
  <c r="K3799" i="1"/>
  <c r="I3789" i="1" s="1"/>
  <c r="R3518" i="1"/>
  <c r="R3519" i="1" s="1"/>
  <c r="I3506" i="1" s="1"/>
  <c r="K3506" i="1" s="1"/>
  <c r="K2167" i="1"/>
  <c r="K2169" i="1" s="1"/>
  <c r="C406" i="55" s="1"/>
  <c r="R1309" i="1"/>
  <c r="R1311" i="1" s="1"/>
  <c r="R893" i="1"/>
  <c r="R895" i="1" s="1"/>
  <c r="R588" i="1"/>
  <c r="R590" i="1" s="1"/>
  <c r="K2180" i="1"/>
  <c r="K2182" i="1" s="1"/>
  <c r="K2184" i="1" s="1"/>
  <c r="C407" i="55" s="1"/>
  <c r="R2414" i="1"/>
  <c r="R2416" i="1" s="1"/>
  <c r="C734" i="55" s="1"/>
  <c r="R462" i="1"/>
  <c r="R464" i="1" s="1"/>
  <c r="P23" i="1"/>
  <c r="P9" i="1"/>
  <c r="R9" i="1" s="1"/>
  <c r="AC19" i="1"/>
  <c r="C81" i="1" s="1"/>
  <c r="Z20" i="1"/>
  <c r="AC20" i="1" s="1"/>
  <c r="I225" i="1" s="1"/>
  <c r="I379" i="1"/>
  <c r="I335" i="1"/>
  <c r="K335" i="1" s="1"/>
  <c r="I311" i="1"/>
  <c r="I410" i="1"/>
  <c r="K410" i="1" s="1"/>
  <c r="I355" i="1"/>
  <c r="K355" i="1" s="1"/>
  <c r="Z29" i="1"/>
  <c r="X19" i="1"/>
  <c r="X20" i="1" s="1"/>
  <c r="F16" i="25"/>
  <c r="F18" i="25" s="1"/>
  <c r="F219" i="64"/>
  <c r="F123" i="64"/>
  <c r="F72" i="25"/>
  <c r="D100" i="25"/>
  <c r="F52" i="25"/>
  <c r="D42" i="25" s="1"/>
  <c r="F42" i="25" s="1"/>
  <c r="K2761" i="27"/>
  <c r="K2764" i="27" s="1"/>
  <c r="I3040" i="27"/>
  <c r="K3040" i="27" s="1"/>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M896" i="11"/>
  <c r="K941" i="11"/>
  <c r="K413" i="11"/>
  <c r="K957" i="11" s="1"/>
  <c r="R412" i="11"/>
  <c r="R413" i="11" s="1"/>
  <c r="I1573" i="1"/>
  <c r="K1573" i="1" s="1"/>
  <c r="K1580" i="1" s="1"/>
  <c r="K1582" i="1" s="1"/>
  <c r="I1601" i="1"/>
  <c r="K322" i="11"/>
  <c r="K323" i="11" s="1"/>
  <c r="L323" i="11" s="1"/>
  <c r="L304" i="11"/>
  <c r="K389" i="11"/>
  <c r="K378" i="11"/>
  <c r="K363" i="11"/>
  <c r="K364" i="11" s="1"/>
  <c r="C138" i="1"/>
  <c r="C140" i="1"/>
  <c r="L871" i="11"/>
  <c r="C1490" i="55"/>
  <c r="R669" i="11"/>
  <c r="K3577" i="1"/>
  <c r="V807" i="1"/>
  <c r="V771" i="1" s="1"/>
  <c r="R1148" i="1"/>
  <c r="P1179" i="1" s="1"/>
  <c r="R1179" i="1" s="1"/>
  <c r="R2361" i="1"/>
  <c r="R2363" i="1" s="1"/>
  <c r="R2365" i="1" s="1"/>
  <c r="P2354" i="1" s="1"/>
  <c r="R2354" i="1" s="1"/>
  <c r="S2321" i="1"/>
  <c r="I3279" i="27"/>
  <c r="K3266" i="27"/>
  <c r="R3725" i="1"/>
  <c r="P3717" i="1" s="1"/>
  <c r="R3717" i="1" s="1"/>
  <c r="R3719" i="1" s="1"/>
  <c r="R3720" i="1" s="1"/>
  <c r="C748" i="55" s="1"/>
  <c r="I3321" i="1"/>
  <c r="R3261" i="1"/>
  <c r="AG3669" i="1"/>
  <c r="K768" i="1"/>
  <c r="K770" i="1" s="1"/>
  <c r="I2356" i="1" s="1"/>
  <c r="K130" i="1"/>
  <c r="C30" i="55" s="1"/>
  <c r="C29" i="55"/>
  <c r="I3426" i="27"/>
  <c r="I3447" i="27" s="1"/>
  <c r="K3407" i="27"/>
  <c r="R487" i="1"/>
  <c r="R489" i="1" s="1"/>
  <c r="K2323" i="1"/>
  <c r="K2324" i="1" s="1"/>
  <c r="I2329" i="1" s="1"/>
  <c r="K2329" i="1" s="1"/>
  <c r="K2330" i="1" s="1"/>
  <c r="K2331" i="1" s="1"/>
  <c r="C891" i="55" s="1"/>
  <c r="F645" i="64"/>
  <c r="D654" i="64"/>
  <c r="F654" i="64" s="1"/>
  <c r="I1818" i="27"/>
  <c r="K1818" i="27" s="1"/>
  <c r="K1817" i="27"/>
  <c r="K1469" i="27"/>
  <c r="K1471" i="27" s="1"/>
  <c r="D278" i="64"/>
  <c r="F203" i="64"/>
  <c r="K706" i="27"/>
  <c r="I2361" i="27"/>
  <c r="W38" i="64"/>
  <c r="W40" i="64" s="1"/>
  <c r="K3700" i="27"/>
  <c r="K3702" i="27" s="1"/>
  <c r="I3028" i="27"/>
  <c r="K3028" i="27" s="1"/>
  <c r="P3503" i="27"/>
  <c r="R3503" i="27" s="1"/>
  <c r="R3507" i="27" s="1"/>
  <c r="R3498" i="27" s="1"/>
  <c r="I2941" i="27"/>
  <c r="I85" i="11"/>
  <c r="K1801" i="27"/>
  <c r="I1802" i="27"/>
  <c r="K1802" i="27" s="1"/>
  <c r="K1737" i="27"/>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I3033" i="27"/>
  <c r="K3033" i="27" s="1"/>
  <c r="I2933" i="27"/>
  <c r="I3159" i="27"/>
  <c r="I3405" i="27"/>
  <c r="K3503" i="27"/>
  <c r="K2910" i="27"/>
  <c r="R521" i="27"/>
  <c r="R523"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K2225" i="27"/>
  <c r="K2227" i="27" s="1"/>
  <c r="R858" i="27"/>
  <c r="R860" i="27" s="1"/>
  <c r="K3053" i="27"/>
  <c r="I3889" i="27"/>
  <c r="K1809" i="27"/>
  <c r="I1810" i="27"/>
  <c r="K1810" i="27" s="1"/>
  <c r="A25" i="50"/>
  <c r="K2829" i="27"/>
  <c r="K2830" i="27" s="1"/>
  <c r="I2819" i="27" s="1"/>
  <c r="K2819" i="27" s="1"/>
  <c r="K2822" i="27" s="1"/>
  <c r="K2727" i="27"/>
  <c r="K2728" i="27" s="1"/>
  <c r="K2717" i="27" s="1"/>
  <c r="K2720" i="27" s="1"/>
  <c r="K1566" i="27"/>
  <c r="K1569" i="27" s="1"/>
  <c r="K3494" i="27"/>
  <c r="I3532" i="27"/>
  <c r="K3532" i="27" s="1"/>
  <c r="K1087" i="27"/>
  <c r="I2264" i="27"/>
  <c r="K708" i="27"/>
  <c r="I2362" i="27"/>
  <c r="F148" i="32"/>
  <c r="F89" i="32"/>
  <c r="K2502" i="27"/>
  <c r="K2241" i="27"/>
  <c r="K1601" i="27"/>
  <c r="K686" i="27"/>
  <c r="I688" i="27" s="1"/>
  <c r="K688" i="27" s="1"/>
  <c r="K693" i="27" s="1"/>
  <c r="K695" i="27" s="1"/>
  <c r="K764" i="27" s="1"/>
  <c r="K667" i="27"/>
  <c r="K669" i="27" s="1"/>
  <c r="K670" i="27" s="1"/>
  <c r="K671" i="27" s="1"/>
  <c r="K672" i="27" s="1"/>
  <c r="K673" i="27" s="1"/>
  <c r="R461" i="27"/>
  <c r="R463" i="27" s="1"/>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D278" i="32"/>
  <c r="F278" i="32" s="1"/>
  <c r="D235" i="32"/>
  <c r="F235" i="32" s="1"/>
  <c r="F197" i="32"/>
  <c r="F199" i="32" s="1"/>
  <c r="I2624" i="27"/>
  <c r="K2624" i="27" s="1"/>
  <c r="I2606" i="27"/>
  <c r="K2606"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F482" i="64"/>
  <c r="AP33" i="64"/>
  <c r="AR33" i="64" s="1"/>
  <c r="AP17" i="64"/>
  <c r="AR17" i="64" s="1"/>
  <c r="F147" i="64"/>
  <c r="F122" i="64"/>
  <c r="D415" i="64"/>
  <c r="D293" i="64"/>
  <c r="F293" i="64" s="1"/>
  <c r="I156" i="1"/>
  <c r="K156" i="1" s="1"/>
  <c r="I46" i="1"/>
  <c r="I11" i="1"/>
  <c r="F291" i="64"/>
  <c r="F414" i="64"/>
  <c r="F12" i="64"/>
  <c r="F13" i="64" s="1"/>
  <c r="G13" i="64" s="1"/>
  <c r="D140" i="64"/>
  <c r="F42" i="64"/>
  <c r="F73" i="64" s="1"/>
  <c r="F148" i="64"/>
  <c r="F202" i="64"/>
  <c r="F277" i="64"/>
  <c r="D283" i="64"/>
  <c r="F283" i="64" s="1"/>
  <c r="F530" i="64"/>
  <c r="D592" i="64"/>
  <c r="E226" i="32"/>
  <c r="F226" i="32" s="1"/>
  <c r="E269" i="32"/>
  <c r="F269" i="32" s="1"/>
  <c r="K956" i="1"/>
  <c r="P949" i="1"/>
  <c r="R949" i="1" s="1"/>
  <c r="P1069" i="1"/>
  <c r="P992" i="1"/>
  <c r="R992" i="1" s="1"/>
  <c r="X1358" i="1"/>
  <c r="AB1356" i="1"/>
  <c r="X1360" i="1"/>
  <c r="AB1358" i="1"/>
  <c r="AE2624" i="1"/>
  <c r="AG2624" i="1" s="1"/>
  <c r="X2610" i="1"/>
  <c r="AE2658" i="1"/>
  <c r="AG2658" i="1" s="1"/>
  <c r="P3161" i="1"/>
  <c r="K3154" i="1"/>
  <c r="R3158" i="1"/>
  <c r="P3194" i="1"/>
  <c r="I3328" i="1"/>
  <c r="I3430" i="1" s="1"/>
  <c r="V3258" i="1"/>
  <c r="X3258" i="1" s="1"/>
  <c r="K3366" i="1"/>
  <c r="I3353" i="1"/>
  <c r="D234" i="32"/>
  <c r="F234" i="32" s="1"/>
  <c r="E271" i="32"/>
  <c r="F271" i="32" s="1"/>
  <c r="C254" i="32"/>
  <c r="C255" i="32"/>
  <c r="X15" i="1"/>
  <c r="I3005" i="1"/>
  <c r="K3005" i="1" s="1"/>
  <c r="C30" i="1"/>
  <c r="P2862" i="1"/>
  <c r="R2862" i="1" s="1"/>
  <c r="K3074" i="1"/>
  <c r="P3148" i="1"/>
  <c r="M3155" i="1" s="1"/>
  <c r="R3155" i="1" s="1"/>
  <c r="I3958" i="1"/>
  <c r="R44" i="11"/>
  <c r="R46" i="11" s="1"/>
  <c r="K1025" i="1"/>
  <c r="P1099" i="1"/>
  <c r="V1394" i="1"/>
  <c r="X1377" i="1"/>
  <c r="V1355" i="1"/>
  <c r="P1411" i="1"/>
  <c r="R1412" i="1"/>
  <c r="P1429" i="1"/>
  <c r="K1626" i="1"/>
  <c r="P1628" i="1"/>
  <c r="K3327" i="1"/>
  <c r="I3396" i="1"/>
  <c r="I3429" i="1" s="1"/>
  <c r="F189" i="32"/>
  <c r="F192" i="32" s="1"/>
  <c r="E227" i="32"/>
  <c r="D277" i="32"/>
  <c r="F277" i="32" s="1"/>
  <c r="P950" i="1"/>
  <c r="R950" i="1" s="1"/>
  <c r="K957" i="1"/>
  <c r="R1603" i="1"/>
  <c r="P1615" i="1"/>
  <c r="R1615" i="1" s="1"/>
  <c r="K2024" i="1"/>
  <c r="P2024" i="1"/>
  <c r="R2024" i="1" s="1"/>
  <c r="K2670" i="1"/>
  <c r="P2677" i="1"/>
  <c r="I3108" i="1"/>
  <c r="K2970" i="1"/>
  <c r="P2977" i="1"/>
  <c r="R2977" i="1" s="1"/>
  <c r="I3395" i="1"/>
  <c r="I3428" i="1" s="1"/>
  <c r="K3428" i="1" s="1"/>
  <c r="K3326" i="1"/>
  <c r="A227" i="32"/>
  <c r="A228" i="32" s="1"/>
  <c r="F228" i="32" s="1"/>
  <c r="C10" i="1"/>
  <c r="D31" i="1"/>
  <c r="V81" i="1"/>
  <c r="AF684" i="1"/>
  <c r="AF686" i="1" s="1"/>
  <c r="K704" i="1"/>
  <c r="I706" i="1" s="1"/>
  <c r="K706" i="1" s="1"/>
  <c r="K2886" i="1"/>
  <c r="K2888" i="1" s="1"/>
  <c r="C684" i="55" s="1"/>
  <c r="V3109" i="1"/>
  <c r="K4067" i="1"/>
  <c r="K1102" i="11"/>
  <c r="I1116" i="11" s="1"/>
  <c r="K1116" i="11" s="1"/>
  <c r="AI531" i="1"/>
  <c r="AI555" i="1" s="1"/>
  <c r="AB555" i="1"/>
  <c r="K960" i="1"/>
  <c r="P953" i="1"/>
  <c r="K992" i="1"/>
  <c r="I2838" i="1"/>
  <c r="K1021" i="1"/>
  <c r="P1095" i="1"/>
  <c r="P3295" i="1"/>
  <c r="R3228" i="1"/>
  <c r="P3262" i="1"/>
  <c r="K3325" i="1"/>
  <c r="I3394" i="1"/>
  <c r="K3526" i="1"/>
  <c r="P3530" i="1"/>
  <c r="R3530" i="1" s="1"/>
  <c r="I3542" i="1"/>
  <c r="K3529" i="1"/>
  <c r="P3533" i="1"/>
  <c r="R3533" i="1" s="1"/>
  <c r="I504" i="11"/>
  <c r="K391" i="11"/>
  <c r="I387" i="11" s="1"/>
  <c r="K387" i="11" s="1"/>
  <c r="I1091" i="1"/>
  <c r="K1091" i="1" s="1"/>
  <c r="V1373" i="1"/>
  <c r="K3791" i="1"/>
  <c r="K3792" i="1" s="1"/>
  <c r="C920" i="55" s="1"/>
  <c r="H3848" i="1"/>
  <c r="K881" i="1"/>
  <c r="K993" i="1"/>
  <c r="K996" i="1"/>
  <c r="K1630" i="1"/>
  <c r="K1922" i="1"/>
  <c r="K1986" i="1"/>
  <c r="K2609" i="1"/>
  <c r="K2641" i="1"/>
  <c r="P3159" i="1"/>
  <c r="R3159" i="1" s="1"/>
  <c r="K3941" i="1"/>
  <c r="K3943" i="1"/>
  <c r="K15" i="11"/>
  <c r="I175" i="11"/>
  <c r="K175" i="11" s="1"/>
  <c r="I84" i="11"/>
  <c r="I209" i="11"/>
  <c r="K209" i="11" s="1"/>
  <c r="I851" i="11"/>
  <c r="K376" i="11"/>
  <c r="K379" i="11" s="1"/>
  <c r="K521" i="11"/>
  <c r="I834" i="11"/>
  <c r="K674" i="11"/>
  <c r="K676" i="11" s="1"/>
  <c r="K783" i="11"/>
  <c r="K760" i="11"/>
  <c r="K761" i="11" s="1"/>
  <c r="K751" i="11" s="1"/>
  <c r="K752" i="11" s="1"/>
  <c r="AE2651" i="1"/>
  <c r="AG2651" i="1" s="1"/>
  <c r="P3332" i="1"/>
  <c r="R3332" i="1" s="1"/>
  <c r="V881" i="1"/>
  <c r="K3378" i="27"/>
  <c r="K3379" i="27" s="1"/>
  <c r="K3347" i="27"/>
  <c r="K3348" i="27" s="1"/>
  <c r="K2192" i="27"/>
  <c r="L3135" i="27"/>
  <c r="K3426" i="27"/>
  <c r="D60" i="25"/>
  <c r="F60" i="25" s="1"/>
  <c r="F38" i="25"/>
  <c r="K2975" i="27"/>
  <c r="K2942" i="27"/>
  <c r="K3060" i="27" s="1"/>
  <c r="K3076" i="27" s="1"/>
  <c r="I3122" i="27"/>
  <c r="K3116" i="27" s="1"/>
  <c r="R3116" i="27" s="1"/>
  <c r="R3130" i="27" s="1"/>
  <c r="H3123" i="27"/>
  <c r="I2934" i="27"/>
  <c r="K2908" i="27"/>
  <c r="I3031" i="27"/>
  <c r="K3031" i="27" s="1"/>
  <c r="I3054" i="27"/>
  <c r="K2936" i="27"/>
  <c r="G218" i="25"/>
  <c r="D692" i="25"/>
  <c r="F692" i="25" s="1"/>
  <c r="I3623" i="27"/>
  <c r="K3504" i="27"/>
  <c r="I2938" i="27"/>
  <c r="K523" i="11"/>
  <c r="I3406" i="27"/>
  <c r="K2061" i="1" l="1"/>
  <c r="K2063" i="1" s="1"/>
  <c r="R396" i="1"/>
  <c r="R398" i="1" s="1"/>
  <c r="K3829" i="27"/>
  <c r="K3896" i="27" s="1"/>
  <c r="R503" i="27"/>
  <c r="R505" i="27" s="1"/>
  <c r="C353" i="55"/>
  <c r="K3591" i="27"/>
  <c r="K3592" i="27" s="1"/>
  <c r="K3582" i="27" s="1"/>
  <c r="K3583" i="27" s="1"/>
  <c r="K3584" i="27" s="1"/>
  <c r="R1527" i="1"/>
  <c r="R1529" i="1" s="1"/>
  <c r="K2723" i="1"/>
  <c r="K2725" i="1" s="1"/>
  <c r="C668" i="55" s="1"/>
  <c r="P165" i="1"/>
  <c r="R165" i="1" s="1"/>
  <c r="F237" i="32"/>
  <c r="K2085" i="1"/>
  <c r="K2087" i="1" s="1"/>
  <c r="C683" i="55" s="1"/>
  <c r="K1870" i="27"/>
  <c r="K450" i="11"/>
  <c r="K451" i="11" s="1"/>
  <c r="K444" i="11" s="1"/>
  <c r="P403" i="1"/>
  <c r="R403" i="1" s="1"/>
  <c r="C1503" i="55"/>
  <c r="F44" i="71" s="1"/>
  <c r="I335" i="27"/>
  <c r="K335" i="27" s="1"/>
  <c r="P179" i="27"/>
  <c r="R179" i="27" s="1"/>
  <c r="I1136" i="1"/>
  <c r="I3531" i="1" s="1"/>
  <c r="P3535" i="1" s="1"/>
  <c r="R3535" i="1" s="1"/>
  <c r="I2872" i="1"/>
  <c r="K2872" i="1" s="1"/>
  <c r="K501" i="11"/>
  <c r="K534" i="11"/>
  <c r="D674" i="73"/>
  <c r="F674" i="73" s="1"/>
  <c r="D656" i="73"/>
  <c r="F656" i="73" s="1"/>
  <c r="P1446" i="1"/>
  <c r="R1430" i="1"/>
  <c r="V1391" i="1"/>
  <c r="X1374" i="1"/>
  <c r="I3001" i="27"/>
  <c r="K3001" i="27" s="1"/>
  <c r="I2911" i="27"/>
  <c r="K2850" i="27"/>
  <c r="K2893" i="27" s="1"/>
  <c r="K3851" i="27" s="1"/>
  <c r="I3802" i="27"/>
  <c r="K3802" i="27" s="1"/>
  <c r="AD1372" i="1"/>
  <c r="AB1389" i="1"/>
  <c r="AD1389" i="1" s="1"/>
  <c r="F92" i="32"/>
  <c r="C585" i="55" s="1"/>
  <c r="K341" i="11"/>
  <c r="K342" i="11" s="1"/>
  <c r="K2273" i="1" s="1"/>
  <c r="C428" i="55" s="1"/>
  <c r="K358" i="1"/>
  <c r="P2374" i="1"/>
  <c r="R2374" i="1" s="1"/>
  <c r="R2379" i="1" s="1"/>
  <c r="R2381" i="1" s="1"/>
  <c r="P197" i="1"/>
  <c r="V197" i="1" s="1"/>
  <c r="X197" i="1" s="1"/>
  <c r="E11" i="4"/>
  <c r="Z46" i="1" s="1"/>
  <c r="R566" i="27"/>
  <c r="R568" i="27" s="1"/>
  <c r="I466" i="11"/>
  <c r="K466" i="11" s="1"/>
  <c r="K2059" i="27"/>
  <c r="K2061" i="27" s="1"/>
  <c r="X647" i="1"/>
  <c r="I203" i="11"/>
  <c r="K203" i="11" s="1"/>
  <c r="K2030" i="1"/>
  <c r="R612" i="27"/>
  <c r="F626" i="25"/>
  <c r="D662" i="25"/>
  <c r="K3543" i="1"/>
  <c r="V3543" i="1"/>
  <c r="AB1369" i="1"/>
  <c r="AD1352" i="1"/>
  <c r="K2996" i="27"/>
  <c r="I3682" i="27"/>
  <c r="V1371" i="1"/>
  <c r="P1427" i="1"/>
  <c r="R1410" i="1"/>
  <c r="P1489" i="1"/>
  <c r="P1475" i="1"/>
  <c r="K3370" i="1"/>
  <c r="K3371" i="1" s="1"/>
  <c r="C1515" i="55" s="1"/>
  <c r="K2008" i="27"/>
  <c r="K2010" i="27" s="1"/>
  <c r="K2609" i="27"/>
  <c r="I173" i="11"/>
  <c r="K173" i="11" s="1"/>
  <c r="AS90" i="1"/>
  <c r="P1218" i="1"/>
  <c r="I111" i="1"/>
  <c r="K111" i="1" s="1"/>
  <c r="K114" i="1" s="1"/>
  <c r="K116" i="1" s="1"/>
  <c r="L116" i="1" s="1"/>
  <c r="C16" i="55" s="1"/>
  <c r="P1893" i="1"/>
  <c r="R1893" i="1" s="1"/>
  <c r="K49" i="27"/>
  <c r="I3464" i="1"/>
  <c r="I3642" i="1"/>
  <c r="K3642" i="1" s="1"/>
  <c r="V1408" i="1"/>
  <c r="X1408" i="1" s="1"/>
  <c r="I2555" i="27"/>
  <c r="V3520" i="1"/>
  <c r="X3520" i="1" s="1"/>
  <c r="P2031" i="1"/>
  <c r="R2031" i="1" s="1"/>
  <c r="I2915" i="27"/>
  <c r="I3036" i="27"/>
  <c r="K3036" i="27" s="1"/>
  <c r="I2939" i="27"/>
  <c r="K1899" i="27"/>
  <c r="V382" i="1"/>
  <c r="R3268" i="1"/>
  <c r="P2077" i="1"/>
  <c r="K3103" i="1"/>
  <c r="R3335" i="1"/>
  <c r="P3370" i="1"/>
  <c r="K1120" i="27"/>
  <c r="K1122" i="27" s="1"/>
  <c r="K1957" i="27"/>
  <c r="K1747" i="27"/>
  <c r="K1749" i="27" s="1"/>
  <c r="I1803" i="27" s="1"/>
  <c r="K1803" i="27" s="1"/>
  <c r="C937" i="55"/>
  <c r="D34" i="71" s="1"/>
  <c r="F34" i="71" s="1"/>
  <c r="AE393" i="1"/>
  <c r="AE429" i="1" s="1"/>
  <c r="AG429" i="1" s="1"/>
  <c r="R2077" i="1"/>
  <c r="R2875" i="27"/>
  <c r="R2877" i="27" s="1"/>
  <c r="P2859" i="27" s="1"/>
  <c r="R2859" i="27" s="1"/>
  <c r="K3459" i="1"/>
  <c r="V340" i="1"/>
  <c r="V584" i="1"/>
  <c r="X584" i="1" s="1"/>
  <c r="AE3543" i="1"/>
  <c r="AE3559" i="1" s="1"/>
  <c r="D589" i="25"/>
  <c r="K3267" i="27"/>
  <c r="I3280" i="27"/>
  <c r="P2892" i="27"/>
  <c r="R2892" i="27" s="1"/>
  <c r="K390" i="11"/>
  <c r="K2276" i="1" s="1"/>
  <c r="C431" i="55" s="1"/>
  <c r="R2302" i="1"/>
  <c r="R2304" i="1" s="1"/>
  <c r="F88" i="50"/>
  <c r="AR401" i="1"/>
  <c r="AR402" i="1" s="1"/>
  <c r="AR403" i="1" s="1"/>
  <c r="AR404" i="1" s="1"/>
  <c r="AR405" i="1" s="1"/>
  <c r="AR406" i="1" s="1"/>
  <c r="K3149" i="1"/>
  <c r="P3156" i="1"/>
  <c r="R3156" i="1" s="1"/>
  <c r="P1067" i="1"/>
  <c r="R1067" i="1" s="1"/>
  <c r="P1049" i="1"/>
  <c r="R1049" i="1" s="1"/>
  <c r="L82" i="1"/>
  <c r="K82" i="1"/>
  <c r="K81" i="1"/>
  <c r="K3660" i="1"/>
  <c r="R1969" i="1"/>
  <c r="P1970" i="1"/>
  <c r="R1970" i="1" s="1"/>
  <c r="I96" i="1"/>
  <c r="K1179" i="1"/>
  <c r="K1183" i="1" s="1"/>
  <c r="K1185" i="1" s="1"/>
  <c r="C306" i="55" s="1"/>
  <c r="F53" i="71" s="1"/>
  <c r="AS3105" i="1"/>
  <c r="AS3109" i="1" s="1"/>
  <c r="AR3114" i="1" s="1"/>
  <c r="AR3115" i="1" s="1"/>
  <c r="AR3116" i="1" s="1"/>
  <c r="C852" i="55" s="1"/>
  <c r="R1972" i="1"/>
  <c r="K1943" i="1"/>
  <c r="I3564" i="1"/>
  <c r="K2714" i="1"/>
  <c r="X712" i="1"/>
  <c r="Z712" i="1" s="1"/>
  <c r="D48" i="32"/>
  <c r="K2385" i="1"/>
  <c r="K2715" i="1"/>
  <c r="K2716" i="1" s="1"/>
  <c r="C670" i="55" s="1"/>
  <c r="P861" i="1"/>
  <c r="R861" i="1" s="1"/>
  <c r="I3929" i="1"/>
  <c r="R1974" i="1"/>
  <c r="K2996" i="1"/>
  <c r="I2901" i="1"/>
  <c r="K2901" i="1" s="1"/>
  <c r="K507" i="1"/>
  <c r="AK554" i="1"/>
  <c r="K2349" i="1"/>
  <c r="K2351" i="1" s="1"/>
  <c r="K2352" i="1" s="1"/>
  <c r="K2353" i="1" s="1"/>
  <c r="C819" i="55" s="1"/>
  <c r="I3578" i="1"/>
  <c r="P1177" i="1"/>
  <c r="R1177" i="1" s="1"/>
  <c r="R1146" i="1"/>
  <c r="K2399" i="1"/>
  <c r="I2411" i="1"/>
  <c r="K2411" i="1" s="1"/>
  <c r="V819" i="1"/>
  <c r="X819" i="1" s="1"/>
  <c r="R1973" i="1"/>
  <c r="R1994" i="1"/>
  <c r="AD645" i="1"/>
  <c r="AF645" i="1" s="1"/>
  <c r="K1491" i="1"/>
  <c r="K1496" i="1" s="1"/>
  <c r="K1498" i="1" s="1"/>
  <c r="C348" i="55" s="1"/>
  <c r="K810" i="1"/>
  <c r="K1353" i="1"/>
  <c r="I3640" i="1"/>
  <c r="K3640" i="1" s="1"/>
  <c r="R1144" i="1"/>
  <c r="K2425" i="1"/>
  <c r="K808" i="1"/>
  <c r="I1255" i="1"/>
  <c r="I35" i="1"/>
  <c r="K1561" i="1"/>
  <c r="K1567" i="1" s="1"/>
  <c r="C455" i="55" s="1"/>
  <c r="K3353" i="1"/>
  <c r="C640" i="55"/>
  <c r="I2574" i="1"/>
  <c r="K2539" i="1"/>
  <c r="I1544" i="27"/>
  <c r="K1544" i="27" s="1"/>
  <c r="K1549" i="27" s="1"/>
  <c r="K1551" i="27" s="1"/>
  <c r="I1517" i="27"/>
  <c r="K1517" i="27" s="1"/>
  <c r="K2262" i="27"/>
  <c r="I2664" i="27"/>
  <c r="K2664" i="27" s="1"/>
  <c r="P1497" i="1"/>
  <c r="R1466" i="1"/>
  <c r="D108" i="50"/>
  <c r="F108" i="50" s="1"/>
  <c r="F45" i="50"/>
  <c r="R1069" i="1"/>
  <c r="F280" i="32"/>
  <c r="R1628" i="1"/>
  <c r="R1637" i="1" s="1"/>
  <c r="T1640" i="1" s="1"/>
  <c r="K3889" i="27"/>
  <c r="R378" i="11"/>
  <c r="R379" i="11" s="1"/>
  <c r="R2009" i="1"/>
  <c r="K3809" i="27"/>
  <c r="K3874" i="27" s="1"/>
  <c r="R2010" i="1"/>
  <c r="K63" i="1"/>
  <c r="I3482" i="1"/>
  <c r="K3482" i="1" s="1"/>
  <c r="I2572" i="1"/>
  <c r="K2537" i="1"/>
  <c r="R2852" i="27"/>
  <c r="P2885" i="27"/>
  <c r="R2885" i="27" s="1"/>
  <c r="K3810" i="27"/>
  <c r="R2514" i="1"/>
  <c r="D410" i="64"/>
  <c r="F287" i="64"/>
  <c r="K3530" i="1"/>
  <c r="I3546" i="1"/>
  <c r="P3534" i="1"/>
  <c r="R3534" i="1" s="1"/>
  <c r="K959" i="11"/>
  <c r="AD554" i="1"/>
  <c r="R541" i="27"/>
  <c r="R543" i="27" s="1"/>
  <c r="K3912" i="27"/>
  <c r="R1633" i="1"/>
  <c r="K53" i="1"/>
  <c r="K3643" i="1"/>
  <c r="I3996" i="1"/>
  <c r="R1071" i="1"/>
  <c r="K44" i="1"/>
  <c r="K446" i="11"/>
  <c r="R1993" i="1"/>
  <c r="I3049" i="27"/>
  <c r="K2931" i="27"/>
  <c r="I2951" i="27"/>
  <c r="K3247" i="27"/>
  <c r="K3250" i="27" s="1"/>
  <c r="K3251" i="27" s="1"/>
  <c r="K3243" i="27" s="1"/>
  <c r="K3244" i="27" s="1"/>
  <c r="I3265" i="27"/>
  <c r="K223" i="11"/>
  <c r="I1069" i="11"/>
  <c r="K1069" i="11" s="1"/>
  <c r="I3402" i="27"/>
  <c r="K3368" i="27"/>
  <c r="I3363" i="27" s="1"/>
  <c r="K3363" i="27" s="1"/>
  <c r="D655" i="25"/>
  <c r="F619" i="25"/>
  <c r="Z13" i="27"/>
  <c r="Z36" i="27"/>
  <c r="AC36" i="27" s="1"/>
  <c r="I242" i="27" s="1"/>
  <c r="K242" i="27" s="1"/>
  <c r="K488" i="11"/>
  <c r="K2286" i="1" s="1"/>
  <c r="C442" i="55" s="1"/>
  <c r="K1524" i="27"/>
  <c r="K1526" i="27" s="1"/>
  <c r="K3909" i="27"/>
  <c r="K142" i="11"/>
  <c r="R1604" i="1"/>
  <c r="K27" i="1"/>
  <c r="R1073" i="1"/>
  <c r="K72" i="1"/>
  <c r="K1879" i="1"/>
  <c r="I2594" i="27"/>
  <c r="K2594" i="27" s="1"/>
  <c r="K2563" i="27"/>
  <c r="K3849" i="27"/>
  <c r="K3795" i="27"/>
  <c r="I2937" i="27"/>
  <c r="I3032" i="27"/>
  <c r="K3032" i="27" s="1"/>
  <c r="K2909" i="27"/>
  <c r="I3198" i="27"/>
  <c r="K3198" i="27" s="1"/>
  <c r="K3158" i="27"/>
  <c r="K167" i="27"/>
  <c r="C165" i="27"/>
  <c r="K3799" i="27"/>
  <c r="V1393" i="1"/>
  <c r="X1376" i="1"/>
  <c r="I210" i="27"/>
  <c r="K210" i="27" s="1"/>
  <c r="P306" i="27"/>
  <c r="R306" i="27" s="1"/>
  <c r="R312" i="27" s="1"/>
  <c r="R314" i="27" s="1"/>
  <c r="P66" i="27"/>
  <c r="R66" i="27" s="1"/>
  <c r="P318" i="27"/>
  <c r="R318" i="27" s="1"/>
  <c r="R324" i="27" s="1"/>
  <c r="R326" i="27" s="1"/>
  <c r="I1221" i="27"/>
  <c r="K1221" i="27" s="1"/>
  <c r="K1226" i="27" s="1"/>
  <c r="K1228" i="27" s="1"/>
  <c r="K225" i="1"/>
  <c r="K379" i="1"/>
  <c r="K311" i="1"/>
  <c r="AQ393" i="1"/>
  <c r="AS393" i="1" s="1"/>
  <c r="X314" i="1"/>
  <c r="AS110" i="1"/>
  <c r="AE314" i="1"/>
  <c r="AG314" i="1" s="1"/>
  <c r="P2857" i="1"/>
  <c r="R2857" i="1" s="1"/>
  <c r="C732" i="55"/>
  <c r="R3124" i="1"/>
  <c r="V2785" i="1"/>
  <c r="X2785" i="1" s="1"/>
  <c r="AE2789" i="1"/>
  <c r="AG2789" i="1" s="1"/>
  <c r="AG3541" i="1"/>
  <c r="AE3557" i="1"/>
  <c r="Q13" i="4"/>
  <c r="Z43" i="1" s="1"/>
  <c r="AC43" i="1" s="1"/>
  <c r="P150" i="1" s="1"/>
  <c r="R150" i="1" s="1"/>
  <c r="R154" i="1" s="1"/>
  <c r="C560" i="55" s="1"/>
  <c r="I154" i="11"/>
  <c r="I1086" i="11"/>
  <c r="K1086" i="11" s="1"/>
  <c r="K124" i="11"/>
  <c r="AG3561" i="1"/>
  <c r="V3624" i="1"/>
  <c r="I224" i="11"/>
  <c r="K224" i="11" s="1"/>
  <c r="K106" i="11"/>
  <c r="P1221" i="1"/>
  <c r="K1226" i="1"/>
  <c r="K1009" i="11"/>
  <c r="K1074" i="11"/>
  <c r="K2973" i="1"/>
  <c r="I3058" i="1"/>
  <c r="P2980" i="1"/>
  <c r="R2980" i="1" s="1"/>
  <c r="P1100" i="1"/>
  <c r="R1074" i="1"/>
  <c r="AB1410" i="1"/>
  <c r="X1412" i="1"/>
  <c r="K1813" i="27"/>
  <c r="K2628" i="27"/>
  <c r="K2629" i="27" s="1"/>
  <c r="I2614" i="27" s="1"/>
  <c r="K2614" i="27" s="1"/>
  <c r="R395" i="27"/>
  <c r="R397" i="27" s="1"/>
  <c r="K581" i="27"/>
  <c r="K3355" i="1"/>
  <c r="I3443" i="1"/>
  <c r="K3443" i="1" s="1"/>
  <c r="K3445" i="1" s="1"/>
  <c r="K3447" i="1" s="1"/>
  <c r="K3448" i="1" s="1"/>
  <c r="N10" i="4"/>
  <c r="Z41" i="1" s="1"/>
  <c r="X643" i="1"/>
  <c r="AD643" i="1"/>
  <c r="AF643" i="1" s="1"/>
  <c r="V708" i="1"/>
  <c r="AB1374" i="1"/>
  <c r="AD1357" i="1"/>
  <c r="I3057" i="27"/>
  <c r="K2939" i="27"/>
  <c r="P1468" i="1"/>
  <c r="R1451" i="1"/>
  <c r="K1938" i="27"/>
  <c r="AG3540" i="1"/>
  <c r="AE3556" i="1"/>
  <c r="AB1384" i="1"/>
  <c r="AD1384" i="1" s="1"/>
  <c r="AD1367" i="1"/>
  <c r="I1108" i="1"/>
  <c r="K1108" i="1" s="1"/>
  <c r="K1093" i="1"/>
  <c r="P1490" i="1"/>
  <c r="R1459" i="1"/>
  <c r="V1420" i="1"/>
  <c r="X1420" i="1" s="1"/>
  <c r="R1450" i="1"/>
  <c r="P1467" i="1"/>
  <c r="C165" i="1"/>
  <c r="C40" i="55" s="1"/>
  <c r="X2604" i="1"/>
  <c r="I2671" i="1"/>
  <c r="P2678" i="1" s="1"/>
  <c r="C1457" i="55"/>
  <c r="P402" i="1"/>
  <c r="R402" i="1" s="1"/>
  <c r="I3354" i="1"/>
  <c r="X886" i="1"/>
  <c r="I3491" i="1"/>
  <c r="K3491" i="1" s="1"/>
  <c r="P1452" i="1"/>
  <c r="R1452" i="1" s="1"/>
  <c r="R1419" i="1"/>
  <c r="V1380" i="1"/>
  <c r="V1397" i="1" s="1"/>
  <c r="R1860" i="1"/>
  <c r="P1891" i="1"/>
  <c r="R1891" i="1" s="1"/>
  <c r="K2817" i="1"/>
  <c r="AG393" i="1"/>
  <c r="R444" i="1"/>
  <c r="R446" i="1" s="1"/>
  <c r="D110" i="32"/>
  <c r="F110" i="32" s="1"/>
  <c r="AB1378" i="1"/>
  <c r="D51" i="50"/>
  <c r="X685" i="1"/>
  <c r="AG3113" i="1"/>
  <c r="AG3114" i="1" s="1"/>
  <c r="AG3115" i="1" s="1"/>
  <c r="AF3113" i="1"/>
  <c r="AF3114" i="1" s="1"/>
  <c r="AF3115" i="1" s="1"/>
  <c r="C897" i="55" s="1"/>
  <c r="D25" i="71" s="1"/>
  <c r="F25" i="71" s="1"/>
  <c r="AH3113" i="1"/>
  <c r="AH3114" i="1" s="1"/>
  <c r="AH3115" i="1" s="1"/>
  <c r="C898" i="55" s="1"/>
  <c r="D26" i="71" s="1"/>
  <c r="F26" i="71" s="1"/>
  <c r="X316" i="1"/>
  <c r="X3675" i="1"/>
  <c r="V3659" i="1" s="1"/>
  <c r="V1302" i="1"/>
  <c r="X1302" i="1" s="1"/>
  <c r="I3681" i="1"/>
  <c r="K3681" i="1" s="1"/>
  <c r="K3695" i="1" s="1"/>
  <c r="K3697" i="1" s="1"/>
  <c r="C862" i="55" s="1"/>
  <c r="K3675" i="1"/>
  <c r="K3677" i="1" s="1"/>
  <c r="C861" i="55" s="1"/>
  <c r="R129" i="1"/>
  <c r="P413" i="1"/>
  <c r="R413" i="1" s="1"/>
  <c r="AQ68" i="1"/>
  <c r="AG3539"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M3712" i="27"/>
  <c r="K2208" i="27"/>
  <c r="K3463" i="1"/>
  <c r="AD1359" i="1"/>
  <c r="AB1376" i="1"/>
  <c r="K3198" i="1"/>
  <c r="C1505" i="55"/>
  <c r="I3243" i="1"/>
  <c r="F24" i="50"/>
  <c r="I3570" i="27"/>
  <c r="K3570" i="27" s="1"/>
  <c r="K3573" i="27" s="1"/>
  <c r="K3564" i="27" s="1"/>
  <c r="K3566" i="27" s="1"/>
  <c r="K3567" i="27" s="1"/>
  <c r="I3622" i="27"/>
  <c r="K3622" i="27" s="1"/>
  <c r="P3470" i="1"/>
  <c r="R3470" i="1" s="1"/>
  <c r="I3831" i="1"/>
  <c r="K3831" i="1" s="1"/>
  <c r="K3464" i="1"/>
  <c r="V767" i="1"/>
  <c r="X767" i="1" s="1"/>
  <c r="X681" i="1"/>
  <c r="I2952" i="27"/>
  <c r="K2932" i="27"/>
  <c r="I3050" i="27"/>
  <c r="V1411" i="1"/>
  <c r="X1395" i="1"/>
  <c r="I3392" i="1"/>
  <c r="K3323" i="1"/>
  <c r="V820" i="1"/>
  <c r="X820" i="1" s="1"/>
  <c r="X805" i="1"/>
  <c r="P3063" i="1"/>
  <c r="R3063" i="1" s="1"/>
  <c r="I3075" i="1"/>
  <c r="K3075" i="1" s="1"/>
  <c r="K9" i="1"/>
  <c r="I3746" i="1"/>
  <c r="K3746" i="1" s="1"/>
  <c r="I3644" i="1"/>
  <c r="K3747" i="1"/>
  <c r="V3521" i="1"/>
  <c r="X3521" i="1" s="1"/>
  <c r="X3541" i="1"/>
  <c r="V3557" i="1"/>
  <c r="AD1400" i="1"/>
  <c r="AB1417" i="1"/>
  <c r="AD1417" i="1" s="1"/>
  <c r="I1115" i="11"/>
  <c r="K1115" i="11" s="1"/>
  <c r="K244" i="11"/>
  <c r="P818" i="11"/>
  <c r="R818" i="11" s="1"/>
  <c r="R793" i="11"/>
  <c r="I595" i="11"/>
  <c r="K576" i="11"/>
  <c r="AC1198" i="1"/>
  <c r="AC1199" i="1" s="1"/>
  <c r="AC1200" i="1" s="1"/>
  <c r="AC1201" i="1" s="1"/>
  <c r="AC1202" i="1" s="1"/>
  <c r="J597" i="1"/>
  <c r="J615" i="1"/>
  <c r="V593" i="1" s="1"/>
  <c r="J660" i="1"/>
  <c r="J661" i="1" s="1"/>
  <c r="J662" i="1" s="1"/>
  <c r="J614" i="1"/>
  <c r="V592" i="1" s="1"/>
  <c r="T1182" i="1"/>
  <c r="J594" i="1"/>
  <c r="J596" i="1"/>
  <c r="J599" i="1"/>
  <c r="J598" i="1"/>
  <c r="T1158" i="1"/>
  <c r="J595" i="1"/>
  <c r="J592" i="1"/>
  <c r="J613" i="1"/>
  <c r="V591" i="1" s="1"/>
  <c r="J591" i="1"/>
  <c r="J593" i="1"/>
  <c r="J560" i="1"/>
  <c r="J536" i="1"/>
  <c r="J537" i="1" s="1"/>
  <c r="J538" i="1" s="1"/>
  <c r="AJ1198" i="1"/>
  <c r="J629" i="1"/>
  <c r="J630" i="1" s="1"/>
  <c r="J631" i="1" s="1"/>
  <c r="J632" i="1" s="1"/>
  <c r="K3212" i="1"/>
  <c r="C1506" i="55"/>
  <c r="I3227" i="1"/>
  <c r="F89" i="50"/>
  <c r="E149" i="50"/>
  <c r="F149" i="50" s="1"/>
  <c r="F152" i="50" s="1"/>
  <c r="C909" i="55" s="1"/>
  <c r="I220" i="11"/>
  <c r="K102" i="11"/>
  <c r="I122" i="11"/>
  <c r="P3115" i="27"/>
  <c r="K3115" i="27"/>
  <c r="V3519" i="1"/>
  <c r="X3519" i="1" s="1"/>
  <c r="X3539" i="1"/>
  <c r="K2971" i="1"/>
  <c r="P2978" i="1"/>
  <c r="R2978" i="1" s="1"/>
  <c r="K3927" i="1"/>
  <c r="I3945" i="1"/>
  <c r="V734" i="1"/>
  <c r="X734" i="1" s="1"/>
  <c r="D46" i="50"/>
  <c r="X3160" i="1"/>
  <c r="D549" i="25"/>
  <c r="P1448" i="1"/>
  <c r="R1432" i="1"/>
  <c r="I2898" i="1"/>
  <c r="K2898" i="1" s="1"/>
  <c r="K504" i="1"/>
  <c r="I3989" i="1"/>
  <c r="K3988" i="1"/>
  <c r="I2683" i="1"/>
  <c r="K2683" i="1" s="1"/>
  <c r="K2682" i="1"/>
  <c r="I2587" i="27"/>
  <c r="K2587" i="27" s="1"/>
  <c r="K2556" i="27"/>
  <c r="P1447" i="1"/>
  <c r="R1431" i="1"/>
  <c r="J616" i="1"/>
  <c r="V594" i="1" s="1"/>
  <c r="AJ1199" i="1"/>
  <c r="P3441" i="1"/>
  <c r="R3441" i="1" s="1"/>
  <c r="R3227" i="1"/>
  <c r="P3328" i="1"/>
  <c r="R19" i="11"/>
  <c r="P52" i="11"/>
  <c r="R52" i="11" s="1"/>
  <c r="K3492" i="1"/>
  <c r="R3301"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5" i="1"/>
  <c r="AE315" i="1"/>
  <c r="AG315" i="1" s="1"/>
  <c r="AQ67" i="1"/>
  <c r="X884" i="1"/>
  <c r="V900" i="1"/>
  <c r="X900" i="1" s="1"/>
  <c r="P3068" i="1"/>
  <c r="R3068" i="1" s="1"/>
  <c r="I3080" i="1"/>
  <c r="K3080" i="1" s="1"/>
  <c r="K3061" i="1"/>
  <c r="P2154" i="1"/>
  <c r="R2154" i="1" s="1"/>
  <c r="K2147" i="1"/>
  <c r="K4022" i="1"/>
  <c r="I4035" i="1"/>
  <c r="K4035" i="1" s="1"/>
  <c r="D587" i="25"/>
  <c r="F550" i="25"/>
  <c r="X3556" i="1"/>
  <c r="V3572" i="1"/>
  <c r="K524" i="11"/>
  <c r="K525" i="11" s="1"/>
  <c r="K516" i="11" s="1"/>
  <c r="K517" i="11" s="1"/>
  <c r="R381" i="27"/>
  <c r="R383" i="27" s="1"/>
  <c r="P412" i="27" s="1"/>
  <c r="R412" i="27" s="1"/>
  <c r="K1442" i="27"/>
  <c r="K1444" i="27" s="1"/>
  <c r="K1984" i="27"/>
  <c r="K1986" i="27" s="1"/>
  <c r="C351" i="55"/>
  <c r="I3995" i="1"/>
  <c r="AD1360" i="1"/>
  <c r="AB1377" i="1"/>
  <c r="I838" i="11"/>
  <c r="K838" i="11" s="1"/>
  <c r="K831" i="11"/>
  <c r="K14" i="27"/>
  <c r="N14" i="27"/>
  <c r="P2886" i="27"/>
  <c r="R2886" i="27" s="1"/>
  <c r="R2853" i="27"/>
  <c r="D84" i="25"/>
  <c r="F59" i="25"/>
  <c r="AB1406" i="1"/>
  <c r="K431" i="11"/>
  <c r="L431" i="11" s="1"/>
  <c r="I2853" i="27"/>
  <c r="P26" i="11"/>
  <c r="K4018" i="1"/>
  <c r="I4019" i="1"/>
  <c r="I4033" i="1"/>
  <c r="K4033" i="1" s="1"/>
  <c r="I3081" i="1"/>
  <c r="K3081" i="1" s="1"/>
  <c r="K3062" i="1"/>
  <c r="P3069" i="1"/>
  <c r="R3069" i="1" s="1"/>
  <c r="K1109" i="11"/>
  <c r="I1128" i="11"/>
  <c r="C354" i="55"/>
  <c r="I3490" i="1"/>
  <c r="K3490" i="1" s="1"/>
  <c r="Z35" i="1"/>
  <c r="AC35" i="1" s="1"/>
  <c r="I254" i="1" s="1"/>
  <c r="K254" i="1" s="1"/>
  <c r="Z36" i="1"/>
  <c r="AC36" i="1" s="1"/>
  <c r="I243" i="1" s="1"/>
  <c r="K243" i="1" s="1"/>
  <c r="Z37" i="1"/>
  <c r="AC37" i="1" s="1"/>
  <c r="I242" i="1" s="1"/>
  <c r="K242" i="1" s="1"/>
  <c r="Z44" i="1"/>
  <c r="AC44" i="1" s="1"/>
  <c r="AB1331" i="1" s="1"/>
  <c r="AC1331" i="1" s="1"/>
  <c r="Z12" i="1"/>
  <c r="AC12" i="1" s="1"/>
  <c r="AC11" i="1"/>
  <c r="V642" i="1" s="1"/>
  <c r="C270" i="55"/>
  <c r="I687" i="1"/>
  <c r="K687" i="1" s="1"/>
  <c r="C271" i="55" s="1"/>
  <c r="K3507" i="27"/>
  <c r="I593" i="11"/>
  <c r="K574" i="11"/>
  <c r="K577" i="11" s="1"/>
  <c r="K578" i="11" s="1"/>
  <c r="K567" i="11" s="1"/>
  <c r="L567" i="11" s="1"/>
  <c r="M567" i="11" s="1"/>
  <c r="N567" i="11" s="1"/>
  <c r="O567" i="11" s="1"/>
  <c r="X1353" i="1"/>
  <c r="AB1351" i="1"/>
  <c r="G834" i="64"/>
  <c r="E889" i="64"/>
  <c r="G889" i="64" s="1"/>
  <c r="K2486" i="1"/>
  <c r="K2490" i="1" s="1"/>
  <c r="K2492" i="1" s="1"/>
  <c r="C1419" i="55" s="1"/>
  <c r="I2508" i="1"/>
  <c r="G829" i="64"/>
  <c r="E884" i="64"/>
  <c r="G884" i="64" s="1"/>
  <c r="G467" i="25"/>
  <c r="G468" i="25" s="1"/>
  <c r="A483" i="25" s="1"/>
  <c r="G483" i="25" s="1"/>
  <c r="G490" i="25" s="1"/>
  <c r="G491" i="25" s="1"/>
  <c r="C743" i="55" s="1"/>
  <c r="I1089" i="11"/>
  <c r="K1089" i="11" s="1"/>
  <c r="K127" i="11"/>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K1107" i="27"/>
  <c r="K1109" i="27" s="1"/>
  <c r="K1427" i="27"/>
  <c r="K1429" i="27" s="1"/>
  <c r="F140" i="64"/>
  <c r="E830" i="64"/>
  <c r="K2918" i="27"/>
  <c r="K2962" i="27" s="1"/>
  <c r="F227" i="32"/>
  <c r="F230" i="64"/>
  <c r="F231" i="64" s="1"/>
  <c r="F232" i="64" s="1"/>
  <c r="F236" i="64" s="1"/>
  <c r="F152" i="32"/>
  <c r="C586" i="55" s="1"/>
  <c r="L2318" i="1"/>
  <c r="P2447" i="1"/>
  <c r="R2447" i="1" s="1"/>
  <c r="I3934" i="27"/>
  <c r="K3934" i="27" s="1"/>
  <c r="K1113" i="11"/>
  <c r="K111" i="11"/>
  <c r="K229" i="11" s="1"/>
  <c r="K245" i="11" s="1"/>
  <c r="K271" i="11" s="1"/>
  <c r="R244" i="11" s="1"/>
  <c r="AG244" i="11" s="1"/>
  <c r="K144" i="11"/>
  <c r="K26" i="11"/>
  <c r="K177" i="11" s="1"/>
  <c r="K87" i="11"/>
  <c r="I291" i="11"/>
  <c r="K285" i="11" s="1"/>
  <c r="R285" i="11" s="1"/>
  <c r="R299" i="11" s="1"/>
  <c r="H292" i="11"/>
  <c r="V3139" i="1"/>
  <c r="I4072" i="1"/>
  <c r="K4072" i="1" s="1"/>
  <c r="X3122" i="1"/>
  <c r="C685" i="55"/>
  <c r="C394" i="55"/>
  <c r="G838" i="64"/>
  <c r="E893" i="64"/>
  <c r="G893" i="64" s="1"/>
  <c r="G827" i="64"/>
  <c r="E882" i="64"/>
  <c r="G882" i="64" s="1"/>
  <c r="I2573" i="1"/>
  <c r="K2538" i="1"/>
  <c r="G840" i="64"/>
  <c r="E895" i="64"/>
  <c r="G895" i="64" s="1"/>
  <c r="G836" i="64"/>
  <c r="E891" i="64"/>
  <c r="G891" i="64" s="1"/>
  <c r="V3518" i="1"/>
  <c r="X3518" i="1" s="1"/>
  <c r="X3538" i="1"/>
  <c r="G832" i="64"/>
  <c r="E887" i="64"/>
  <c r="G887" i="64" s="1"/>
  <c r="G839" i="64"/>
  <c r="E894" i="64"/>
  <c r="G894" i="64" s="1"/>
  <c r="I153" i="27"/>
  <c r="K153" i="27" s="1"/>
  <c r="I183" i="27"/>
  <c r="K183" i="27" s="1"/>
  <c r="K188" i="27" s="1"/>
  <c r="I1683" i="27"/>
  <c r="K1683" i="27" s="1"/>
  <c r="K1691" i="27" s="1"/>
  <c r="K1693" i="27" s="1"/>
  <c r="V818" i="1"/>
  <c r="X818" i="1" s="1"/>
  <c r="X803" i="1"/>
  <c r="G375" i="25"/>
  <c r="G376" i="25" s="1"/>
  <c r="W25" i="64"/>
  <c r="W27" i="64" s="1"/>
  <c r="K742" i="11"/>
  <c r="K733" i="11" s="1"/>
  <c r="K735" i="11" s="1"/>
  <c r="G825" i="64"/>
  <c r="E880" i="64"/>
  <c r="G880" i="64" s="1"/>
  <c r="E892" i="64"/>
  <c r="G892" i="64" s="1"/>
  <c r="G837" i="64"/>
  <c r="K913" i="11"/>
  <c r="K930" i="11"/>
  <c r="F28" i="32"/>
  <c r="I4036" i="1"/>
  <c r="K4036" i="1" s="1"/>
  <c r="K4025" i="1"/>
  <c r="K468" i="11"/>
  <c r="K460" i="11" s="1"/>
  <c r="R838" i="11"/>
  <c r="R840" i="11" s="1"/>
  <c r="R851" i="11"/>
  <c r="R852" i="11" s="1"/>
  <c r="R853" i="11" s="1"/>
  <c r="R855" i="11" s="1"/>
  <c r="G826" i="64"/>
  <c r="E881" i="64"/>
  <c r="G881" i="64" s="1"/>
  <c r="G828" i="64"/>
  <c r="E883" i="64"/>
  <c r="G883" i="64" s="1"/>
  <c r="G835" i="64"/>
  <c r="E890" i="64"/>
  <c r="G890" i="64" s="1"/>
  <c r="P792" i="11"/>
  <c r="K791" i="11"/>
  <c r="K795" i="11" s="1"/>
  <c r="K796" i="11" s="1"/>
  <c r="K242" i="11"/>
  <c r="I1110" i="11"/>
  <c r="K1110" i="11" s="1"/>
  <c r="I268" i="11"/>
  <c r="K853" i="11"/>
  <c r="I3683" i="27"/>
  <c r="K3683" i="27" s="1"/>
  <c r="I3830" i="1"/>
  <c r="K3830" i="1" s="1"/>
  <c r="R197" i="1"/>
  <c r="D110" i="50"/>
  <c r="F110" i="50" s="1"/>
  <c r="F47" i="50"/>
  <c r="C166" i="1"/>
  <c r="C41" i="55" s="1"/>
  <c r="AE368" i="1"/>
  <c r="AG368" i="1" s="1"/>
  <c r="X359" i="1"/>
  <c r="AQ392" i="1"/>
  <c r="AS392" i="1" s="1"/>
  <c r="AG392" i="1"/>
  <c r="AE428" i="1"/>
  <c r="AG428" i="1" s="1"/>
  <c r="P1894" i="1"/>
  <c r="R1863" i="1"/>
  <c r="D99" i="25"/>
  <c r="F71" i="25"/>
  <c r="V3637" i="1"/>
  <c r="X3637" i="1" s="1"/>
  <c r="R1114" i="1"/>
  <c r="AD1191" i="1"/>
  <c r="AI1191" i="1"/>
  <c r="AK1191" i="1" s="1"/>
  <c r="P1469" i="1"/>
  <c r="V2783" i="1"/>
  <c r="X2783" i="1" s="1"/>
  <c r="I2243" i="1"/>
  <c r="K2243" i="1" s="1"/>
  <c r="P945" i="1"/>
  <c r="R945" i="1" s="1"/>
  <c r="P734" i="1"/>
  <c r="R734" i="1" s="1"/>
  <c r="R743" i="1" s="1"/>
  <c r="R745" i="1" s="1"/>
  <c r="V2781" i="1"/>
  <c r="P719" i="1"/>
  <c r="R719" i="1" s="1"/>
  <c r="R728" i="1" s="1"/>
  <c r="R730" i="1" s="1"/>
  <c r="I2242" i="1"/>
  <c r="K2242" i="1" s="1"/>
  <c r="P1046" i="1"/>
  <c r="P750" i="1"/>
  <c r="R750" i="1" s="1"/>
  <c r="R759" i="1" s="1"/>
  <c r="R761" i="1" s="1"/>
  <c r="P943" i="1"/>
  <c r="AC26" i="1"/>
  <c r="Z27" i="1"/>
  <c r="D29" i="25"/>
  <c r="F29" i="25" s="1"/>
  <c r="F31" i="25" s="1"/>
  <c r="F32" i="25" s="1"/>
  <c r="V3707" i="1"/>
  <c r="I3184" i="1"/>
  <c r="K3171" i="1"/>
  <c r="K3170" i="1"/>
  <c r="I3183" i="1"/>
  <c r="R1219" i="1"/>
  <c r="T1219" i="1" s="1"/>
  <c r="P1261" i="1"/>
  <c r="P1224" i="1"/>
  <c r="F51" i="32"/>
  <c r="D114" i="32"/>
  <c r="F114" i="32" s="1"/>
  <c r="V1242" i="1"/>
  <c r="P1239" i="1"/>
  <c r="R1239" i="1" s="1"/>
  <c r="R1262" i="1"/>
  <c r="D101" i="25"/>
  <c r="F73" i="25"/>
  <c r="X3555" i="1"/>
  <c r="V3571" i="1"/>
  <c r="AS68" i="1"/>
  <c r="AQ92" i="1"/>
  <c r="P1260" i="1"/>
  <c r="R1218" i="1"/>
  <c r="T1218" i="1" s="1"/>
  <c r="P1223" i="1"/>
  <c r="I3197" i="1"/>
  <c r="K3182" i="1"/>
  <c r="R1225" i="1"/>
  <c r="T1225" i="1" s="1"/>
  <c r="P1267" i="1"/>
  <c r="R1321" i="1"/>
  <c r="R1324" i="1" s="1"/>
  <c r="R1326" i="1" s="1"/>
  <c r="V1322" i="1"/>
  <c r="X1322" i="1" s="1"/>
  <c r="F45" i="25"/>
  <c r="F46" i="25" s="1"/>
  <c r="V198" i="1"/>
  <c r="X198" i="1" s="1"/>
  <c r="R198" i="1"/>
  <c r="P140" i="1"/>
  <c r="C141" i="1"/>
  <c r="I3004" i="1"/>
  <c r="K3004" i="1" s="1"/>
  <c r="K3006" i="1" s="1"/>
  <c r="I244" i="1"/>
  <c r="K244" i="1" s="1"/>
  <c r="C35" i="1"/>
  <c r="P3551" i="1"/>
  <c r="R3551" i="1" s="1"/>
  <c r="AE3547" i="1"/>
  <c r="AE3563" i="1" s="1"/>
  <c r="V3547" i="1"/>
  <c r="K3109" i="1"/>
  <c r="P2083" i="1"/>
  <c r="R2083" i="1" s="1"/>
  <c r="R405" i="1"/>
  <c r="R407" i="1" s="1"/>
  <c r="W593" i="1"/>
  <c r="W594" i="1"/>
  <c r="W592" i="1"/>
  <c r="W591" i="1"/>
  <c r="R23" i="1"/>
  <c r="P50" i="1"/>
  <c r="R50" i="1" s="1"/>
  <c r="P641" i="1"/>
  <c r="R641" i="1" s="1"/>
  <c r="R645" i="1" s="1"/>
  <c r="C82" i="1"/>
  <c r="D672" i="73" s="1"/>
  <c r="F672" i="73" s="1"/>
  <c r="F679" i="73" s="1"/>
  <c r="F681" i="73" s="1"/>
  <c r="Z34" i="1"/>
  <c r="AC34" i="1" s="1"/>
  <c r="C77" i="1" s="1"/>
  <c r="I444" i="1" s="1"/>
  <c r="K444" i="1" s="1"/>
  <c r="AC29" i="1"/>
  <c r="C91" i="1" s="1"/>
  <c r="Z10" i="1"/>
  <c r="AC10" i="1" s="1"/>
  <c r="C69" i="1" s="1"/>
  <c r="I296" i="1" s="1"/>
  <c r="K296" i="1" s="1"/>
  <c r="AC9" i="1"/>
  <c r="C68" i="1" s="1"/>
  <c r="I295" i="1" s="1"/>
  <c r="K295" i="1" s="1"/>
  <c r="Z16" i="1"/>
  <c r="F153" i="64"/>
  <c r="F154" i="64" s="1"/>
  <c r="F155" i="64" s="1"/>
  <c r="F159" i="64" s="1"/>
  <c r="K3772" i="27"/>
  <c r="R3772" i="27"/>
  <c r="D121" i="25"/>
  <c r="F100" i="25"/>
  <c r="P401" i="27"/>
  <c r="R401" i="27" s="1"/>
  <c r="P402" i="27"/>
  <c r="R402" i="27" s="1"/>
  <c r="L379" i="11"/>
  <c r="C719" i="55"/>
  <c r="C1470" i="55"/>
  <c r="I2269" i="27"/>
  <c r="I1092" i="27"/>
  <c r="K1092" i="27" s="1"/>
  <c r="K705" i="11"/>
  <c r="K707" i="11" s="1"/>
  <c r="K667" i="11"/>
  <c r="K669" i="11" s="1"/>
  <c r="C1472" i="55"/>
  <c r="K398" i="11"/>
  <c r="M390" i="11"/>
  <c r="L390" i="11"/>
  <c r="P1116" i="1"/>
  <c r="R1116" i="1" s="1"/>
  <c r="R1095" i="1"/>
  <c r="M2075" i="1"/>
  <c r="R2061" i="1"/>
  <c r="R1099" i="1"/>
  <c r="P1120" i="1"/>
  <c r="R1120" i="1" s="1"/>
  <c r="AB1373" i="1"/>
  <c r="AD1356"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P3364" i="1"/>
  <c r="R3364" i="1" s="1"/>
  <c r="P3398" i="1"/>
  <c r="R3398" i="1" s="1"/>
  <c r="R3295" i="1"/>
  <c r="X136" i="1"/>
  <c r="V82" i="1"/>
  <c r="X82" i="1" s="1"/>
  <c r="V110" i="1"/>
  <c r="X110" i="1" s="1"/>
  <c r="X114" i="1" s="1"/>
  <c r="X116" i="1" s="1"/>
  <c r="X118" i="1" s="1"/>
  <c r="X133" i="1"/>
  <c r="X81" i="1"/>
  <c r="V1410" i="1"/>
  <c r="X1394" i="1"/>
  <c r="K3958" i="1"/>
  <c r="I3975" i="1"/>
  <c r="K3975" i="1" s="1"/>
  <c r="I1129" i="1"/>
  <c r="I920" i="1"/>
  <c r="K920" i="1" s="1"/>
  <c r="I2865" i="1"/>
  <c r="K2865" i="1" s="1"/>
  <c r="I927" i="1"/>
  <c r="K927" i="1" s="1"/>
  <c r="R3194" i="1"/>
  <c r="D669" i="64"/>
  <c r="F669" i="64" s="1"/>
  <c r="F682" i="64" s="1"/>
  <c r="F592" i="64"/>
  <c r="K46" i="1"/>
  <c r="K2264" i="27"/>
  <c r="I2666" i="27"/>
  <c r="K2666" i="27" s="1"/>
  <c r="I3424" i="27"/>
  <c r="K3405" i="27"/>
  <c r="I2440" i="27"/>
  <c r="K2440" i="27" s="1"/>
  <c r="K2425" i="27"/>
  <c r="I208" i="11"/>
  <c r="K208" i="11" s="1"/>
  <c r="I109" i="11"/>
  <c r="K85" i="11"/>
  <c r="F278" i="64"/>
  <c r="F297" i="64" s="1"/>
  <c r="D342" i="64"/>
  <c r="F342" i="64" s="1"/>
  <c r="F359" i="64" s="1"/>
  <c r="I2358" i="1"/>
  <c r="I2360" i="1"/>
  <c r="C597" i="55" s="1"/>
  <c r="C595" i="55"/>
  <c r="AS135" i="1"/>
  <c r="AQ166" i="1"/>
  <c r="AS166" i="1" s="1"/>
  <c r="C1469" i="55"/>
  <c r="L364" i="11"/>
  <c r="M364" i="11"/>
  <c r="P1602" i="1"/>
  <c r="K1601" i="1"/>
  <c r="K1606" i="1" s="1"/>
  <c r="K1608"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2" i="1"/>
  <c r="P3546" i="1"/>
  <c r="R3546" i="1" s="1"/>
  <c r="K3542" i="1"/>
  <c r="V3542" i="1"/>
  <c r="P1055" i="1"/>
  <c r="R1055" i="1" s="1"/>
  <c r="R953" i="1"/>
  <c r="I3483" i="1"/>
  <c r="K3483" i="1" s="1"/>
  <c r="I1073" i="1"/>
  <c r="K1073" i="1" s="1"/>
  <c r="I1088" i="1"/>
  <c r="K1088" i="1" s="1"/>
  <c r="A26" i="50"/>
  <c r="F26" i="50" s="1"/>
  <c r="F25" i="50"/>
  <c r="X881" i="1"/>
  <c r="V897" i="1"/>
  <c r="X897" i="1" s="1"/>
  <c r="I207" i="11"/>
  <c r="K207" i="11" s="1"/>
  <c r="K84" i="11"/>
  <c r="E3852" i="1"/>
  <c r="J3848" i="1"/>
  <c r="K2838" i="1"/>
  <c r="K2843" i="1" s="1"/>
  <c r="K2845" i="1" s="1"/>
  <c r="I2974" i="1"/>
  <c r="AF690" i="1"/>
  <c r="AF688" i="1"/>
  <c r="AF687" i="1"/>
  <c r="K3108" i="1"/>
  <c r="P2082" i="1"/>
  <c r="R2082" i="1" s="1"/>
  <c r="K3429" i="1"/>
  <c r="P1445" i="1"/>
  <c r="V1423" i="1"/>
  <c r="X1423" i="1" s="1"/>
  <c r="R1429" i="1"/>
  <c r="P28" i="11"/>
  <c r="R28" i="11" s="1"/>
  <c r="P61" i="11"/>
  <c r="R61" i="11" s="1"/>
  <c r="I3608" i="1"/>
  <c r="K3430" i="1"/>
  <c r="R3161" i="1"/>
  <c r="V3120" i="1"/>
  <c r="AB1375" i="1"/>
  <c r="AD1358" i="1"/>
  <c r="F74" i="64"/>
  <c r="F75" i="64" s="1"/>
  <c r="F79" i="64" s="1"/>
  <c r="K11" i="1"/>
  <c r="D540" i="64"/>
  <c r="F415" i="64"/>
  <c r="D416" i="64"/>
  <c r="I2558" i="27"/>
  <c r="K914" i="27"/>
  <c r="K922" i="27" s="1"/>
  <c r="K924" i="27" s="1"/>
  <c r="I2408" i="27"/>
  <c r="K2408" i="27" s="1"/>
  <c r="K2361" i="27"/>
  <c r="I688" i="1"/>
  <c r="K688" i="1" s="1"/>
  <c r="AU110" i="1"/>
  <c r="AV110" i="1" s="1"/>
  <c r="V822" i="1"/>
  <c r="X822" i="1" s="1"/>
  <c r="X807" i="1"/>
  <c r="K948" i="11"/>
  <c r="K950" i="11" s="1"/>
  <c r="L950" i="11" s="1"/>
  <c r="K943" i="11"/>
  <c r="K1805" i="27"/>
  <c r="K753" i="11"/>
  <c r="M753" i="11"/>
  <c r="K834" i="11"/>
  <c r="I3664" i="27"/>
  <c r="K3664" i="27" s="1"/>
  <c r="V1390" i="1"/>
  <c r="X1373" i="1"/>
  <c r="K504" i="11"/>
  <c r="I499" i="11" s="1"/>
  <c r="K499" i="11" s="1"/>
  <c r="K502" i="11" s="1"/>
  <c r="L502" i="11" s="1"/>
  <c r="I537" i="11"/>
  <c r="I3322" i="1"/>
  <c r="R3262" i="1"/>
  <c r="I707" i="1"/>
  <c r="K707" i="1" s="1"/>
  <c r="C276" i="55"/>
  <c r="I460" i="1"/>
  <c r="K460" i="1" s="1"/>
  <c r="I298" i="1"/>
  <c r="K298" i="1" s="1"/>
  <c r="P320" i="1"/>
  <c r="R320" i="1" s="1"/>
  <c r="P337" i="1"/>
  <c r="R337" i="1" s="1"/>
  <c r="I3457" i="1"/>
  <c r="I1945" i="1"/>
  <c r="I1809" i="1"/>
  <c r="K1809" i="1" s="1"/>
  <c r="K1816" i="1" s="1"/>
  <c r="K1818" i="1" s="1"/>
  <c r="I1872" i="1" s="1"/>
  <c r="K1872" i="1" s="1"/>
  <c r="K1874" i="1" s="1"/>
  <c r="C377" i="55" s="1"/>
  <c r="F60" i="71" s="1"/>
  <c r="I2698" i="1"/>
  <c r="K2698" i="1" s="1"/>
  <c r="K2701" i="1" s="1"/>
  <c r="K2702" i="1" s="1"/>
  <c r="K2703" i="1" s="1"/>
  <c r="C710" i="55" s="1"/>
  <c r="I1827" i="1"/>
  <c r="K1827" i="1" s="1"/>
  <c r="K1834" i="1" s="1"/>
  <c r="K1836" i="1" s="1"/>
  <c r="I1880" i="1" s="1"/>
  <c r="I1379" i="1"/>
  <c r="K1379" i="1" s="1"/>
  <c r="I1251" i="1"/>
  <c r="I1272" i="1"/>
  <c r="I1466" i="1"/>
  <c r="K1466" i="1" s="1"/>
  <c r="I1434" i="1"/>
  <c r="K1434" i="1" s="1"/>
  <c r="I605" i="1"/>
  <c r="K605" i="1" s="1"/>
  <c r="K610" i="1" s="1"/>
  <c r="I583" i="1"/>
  <c r="V478" i="1"/>
  <c r="P268" i="1"/>
  <c r="R268" i="1" s="1"/>
  <c r="I357" i="1"/>
  <c r="P81" i="1"/>
  <c r="R81" i="1" s="1"/>
  <c r="P363" i="1"/>
  <c r="R363" i="1" s="1"/>
  <c r="I446" i="1"/>
  <c r="K446" i="1" s="1"/>
  <c r="P365" i="1"/>
  <c r="R365" i="1" s="1"/>
  <c r="I2007" i="1"/>
  <c r="I2738" i="1"/>
  <c r="K2738" i="1" s="1"/>
  <c r="K2745" i="1" s="1"/>
  <c r="K2747" i="1" s="1"/>
  <c r="I2765" i="1" s="1"/>
  <c r="K2765" i="1" s="1"/>
  <c r="K2767" i="1" s="1"/>
  <c r="I2026" i="1"/>
  <c r="I1305" i="1"/>
  <c r="I651" i="1"/>
  <c r="K651" i="1" s="1"/>
  <c r="I883" i="1"/>
  <c r="I621" i="1"/>
  <c r="K621" i="1" s="1"/>
  <c r="P550" i="1"/>
  <c r="R550" i="1" s="1"/>
  <c r="R557" i="1" s="1"/>
  <c r="R559" i="1" s="1"/>
  <c r="I395" i="1"/>
  <c r="I313" i="1"/>
  <c r="I412" i="1"/>
  <c r="K412" i="1" s="1"/>
  <c r="I427" i="1"/>
  <c r="K427" i="1" s="1"/>
  <c r="P181" i="1"/>
  <c r="R181" i="1" s="1"/>
  <c r="P308" i="1"/>
  <c r="R308" i="1" s="1"/>
  <c r="I1646" i="1"/>
  <c r="I1911" i="1"/>
  <c r="K1911" i="1" s="1"/>
  <c r="K1915" i="1" s="1"/>
  <c r="K1917" i="1" s="1"/>
  <c r="I1924" i="1" s="1"/>
  <c r="K1924" i="1" s="1"/>
  <c r="K1927" i="1" s="1"/>
  <c r="C378" i="55" s="1"/>
  <c r="I1479" i="1"/>
  <c r="K1479" i="1" s="1"/>
  <c r="I2150" i="1"/>
  <c r="I1406" i="1"/>
  <c r="I1357" i="1"/>
  <c r="I1201" i="1"/>
  <c r="I1454" i="1"/>
  <c r="K1454" i="1" s="1"/>
  <c r="I1393" i="1"/>
  <c r="I865" i="1"/>
  <c r="I527" i="1"/>
  <c r="K527" i="1" s="1"/>
  <c r="P522" i="1"/>
  <c r="R522" i="1" s="1"/>
  <c r="R529" i="1" s="1"/>
  <c r="R531" i="1" s="1"/>
  <c r="I381" i="1"/>
  <c r="I2130" i="1"/>
  <c r="K2130" i="1" s="1"/>
  <c r="I1845" i="1"/>
  <c r="I2384" i="1"/>
  <c r="I1419" i="1"/>
  <c r="I1222" i="1"/>
  <c r="P504" i="1"/>
  <c r="R504" i="1" s="1"/>
  <c r="R511" i="1" s="1"/>
  <c r="R513" i="1" s="1"/>
  <c r="V529" i="1"/>
  <c r="I899" i="1"/>
  <c r="K899" i="1" s="1"/>
  <c r="I551" i="1"/>
  <c r="K551" i="1" s="1"/>
  <c r="I488" i="1"/>
  <c r="K488" i="1" s="1"/>
  <c r="P297" i="1"/>
  <c r="R297" i="1" s="1"/>
  <c r="I337" i="1"/>
  <c r="L1601" i="1"/>
  <c r="L1602" i="1" s="1"/>
  <c r="K1635" i="1"/>
  <c r="K1638" i="1" s="1"/>
  <c r="X1355" i="1"/>
  <c r="AB1353" i="1"/>
  <c r="F483" i="64"/>
  <c r="F484" i="64" s="1"/>
  <c r="F487" i="64" s="1"/>
  <c r="I2442" i="27"/>
  <c r="K2442" i="27" s="1"/>
  <c r="K2428" i="27"/>
  <c r="K2362" i="27"/>
  <c r="I2410" i="27"/>
  <c r="K2410" i="27" s="1"/>
  <c r="I3051" i="27"/>
  <c r="I2953" i="27"/>
  <c r="K2933" i="27"/>
  <c r="K3321" i="1"/>
  <c r="I3338" i="27"/>
  <c r="K3338" i="27" s="1"/>
  <c r="K3279" i="27"/>
  <c r="C1502" i="55"/>
  <c r="T670" i="11"/>
  <c r="R670" i="11"/>
  <c r="I1613" i="1"/>
  <c r="I1586" i="1"/>
  <c r="K1586" i="1" s="1"/>
  <c r="K1593" i="1" s="1"/>
  <c r="K1595" i="1" s="1"/>
  <c r="C357" i="55" s="1"/>
  <c r="M342" i="11"/>
  <c r="C1467" i="55"/>
  <c r="C936" i="55"/>
  <c r="F39" i="71" s="1"/>
  <c r="L959" i="11"/>
  <c r="F273" i="32"/>
  <c r="AR47" i="64"/>
  <c r="K371" i="27"/>
  <c r="V1372" i="1"/>
  <c r="R1411" i="1"/>
  <c r="R1421" i="1" s="1"/>
  <c r="C312" i="55" s="1"/>
  <c r="P1428" i="1"/>
  <c r="K583" i="27"/>
  <c r="I583" i="27"/>
  <c r="K3159" i="27"/>
  <c r="K3160" i="27" s="1"/>
  <c r="K3161" i="27" s="1"/>
  <c r="I3199" i="27"/>
  <c r="K3199" i="27" s="1"/>
  <c r="K2914" i="27"/>
  <c r="I3037" i="27"/>
  <c r="K3037" i="27" s="1"/>
  <c r="I3059" i="27"/>
  <c r="K3059" i="27" s="1"/>
  <c r="K2941" i="27"/>
  <c r="C682" i="55"/>
  <c r="C392" i="55"/>
  <c r="D22" i="71" s="1"/>
  <c r="F22" i="71" s="1"/>
  <c r="M353" i="11"/>
  <c r="C1468" i="55"/>
  <c r="L353" i="11"/>
  <c r="C356" i="55"/>
  <c r="I2928" i="1"/>
  <c r="C671" i="55"/>
  <c r="I2937" i="1"/>
  <c r="K2937" i="1" s="1"/>
  <c r="K3447" i="27"/>
  <c r="I3487" i="27"/>
  <c r="K3487" i="27" s="1"/>
  <c r="I2954" i="27"/>
  <c r="K2934" i="27"/>
  <c r="I3052" i="27"/>
  <c r="K3054" i="27"/>
  <c r="I3891" i="27"/>
  <c r="K2938" i="27"/>
  <c r="I3056" i="27"/>
  <c r="K3056" i="27" s="1"/>
  <c r="I2955" i="27"/>
  <c r="K3466" i="27"/>
  <c r="K3468" i="27" s="1"/>
  <c r="L3379" i="27"/>
  <c r="K3536" i="27"/>
  <c r="K3538" i="27" s="1"/>
  <c r="K3539" i="27" s="1"/>
  <c r="K3498" i="27"/>
  <c r="K3500" i="27" s="1"/>
  <c r="I3425" i="27"/>
  <c r="K3425" i="27" s="1"/>
  <c r="K3406" i="27"/>
  <c r="K3623" i="27"/>
  <c r="I3684" i="27"/>
  <c r="K3684" i="27" s="1"/>
  <c r="I3730" i="27"/>
  <c r="K3102" i="27"/>
  <c r="K3456" i="27"/>
  <c r="K3458" i="27" s="1"/>
  <c r="K2213" i="27" s="1"/>
  <c r="L3348" i="27"/>
  <c r="K3626" i="27" l="1"/>
  <c r="K3627" i="27" s="1"/>
  <c r="F92" i="50"/>
  <c r="C908" i="55" s="1"/>
  <c r="AG3543" i="1"/>
  <c r="C393" i="55"/>
  <c r="D23" i="71" s="1"/>
  <c r="F23" i="71" s="1"/>
  <c r="K179" i="11"/>
  <c r="K3831" i="27"/>
  <c r="V1450" i="1"/>
  <c r="P1535" i="1"/>
  <c r="R1535" i="1" s="1"/>
  <c r="R1489" i="1"/>
  <c r="I3693" i="27"/>
  <c r="K3693" i="27" s="1"/>
  <c r="K3682" i="27"/>
  <c r="K3688" i="27" s="1"/>
  <c r="V3559" i="1"/>
  <c r="X3543" i="1"/>
  <c r="V3523" i="1"/>
  <c r="X3523" i="1" s="1"/>
  <c r="X1391" i="1"/>
  <c r="V1407" i="1"/>
  <c r="X382" i="1"/>
  <c r="AE391" i="1"/>
  <c r="V413" i="1"/>
  <c r="X413" i="1" s="1"/>
  <c r="K2915" i="27"/>
  <c r="I3038" i="27"/>
  <c r="K3038" i="27" s="1"/>
  <c r="P1482" i="1"/>
  <c r="R1475" i="1"/>
  <c r="V1436" i="1"/>
  <c r="V1388" i="1"/>
  <c r="X1371" i="1"/>
  <c r="AD1369" i="1"/>
  <c r="AB1386" i="1"/>
  <c r="AD1386" i="1" s="1"/>
  <c r="K3200" i="27"/>
  <c r="K3201" i="27" s="1"/>
  <c r="K2671" i="1"/>
  <c r="L488" i="11"/>
  <c r="K2542" i="1"/>
  <c r="K2545" i="1" s="1"/>
  <c r="AQ3114" i="1"/>
  <c r="AQ3115" i="1" s="1"/>
  <c r="AQ3116" i="1" s="1"/>
  <c r="C851" i="55" s="1"/>
  <c r="K86" i="1"/>
  <c r="K88" i="1" s="1"/>
  <c r="K90" i="1" s="1"/>
  <c r="R3370" i="1"/>
  <c r="P3404" i="1"/>
  <c r="I2586" i="27"/>
  <c r="K2586" i="27" s="1"/>
  <c r="K2555" i="27"/>
  <c r="R1427" i="1"/>
  <c r="P1443" i="1"/>
  <c r="D698" i="25"/>
  <c r="F698" i="25" s="1"/>
  <c r="F662" i="25"/>
  <c r="R1446" i="1"/>
  <c r="P1463" i="1"/>
  <c r="K1136" i="1"/>
  <c r="K118" i="1"/>
  <c r="K119" i="1" s="1"/>
  <c r="X340" i="1"/>
  <c r="AE340" i="1"/>
  <c r="AG340" i="1" s="1"/>
  <c r="I3034" i="27"/>
  <c r="K3034" i="27" s="1"/>
  <c r="K2911" i="27"/>
  <c r="X1365" i="1"/>
  <c r="C311" i="55" s="1"/>
  <c r="I2354" i="1"/>
  <c r="X1380" i="1"/>
  <c r="C15" i="55"/>
  <c r="F589" i="25"/>
  <c r="D624" i="25"/>
  <c r="K3280" i="27"/>
  <c r="I3298" i="27"/>
  <c r="K3408" i="27"/>
  <c r="K3409" i="27" s="1"/>
  <c r="K3398" i="27" s="1"/>
  <c r="L3398" i="27" s="1"/>
  <c r="K3041" i="27"/>
  <c r="C6" i="55"/>
  <c r="D9" i="71" s="1"/>
  <c r="F9" i="71" s="1"/>
  <c r="P595" i="1"/>
  <c r="R595" i="1" s="1"/>
  <c r="P608" i="1"/>
  <c r="R608" i="1" s="1"/>
  <c r="K89" i="1"/>
  <c r="C18" i="55"/>
  <c r="K96" i="1"/>
  <c r="K99" i="1" s="1"/>
  <c r="K101" i="1" s="1"/>
  <c r="M96" i="1"/>
  <c r="M97" i="1" s="1"/>
  <c r="K3564" i="1"/>
  <c r="P3567" i="1"/>
  <c r="R3567" i="1" s="1"/>
  <c r="L2691" i="1"/>
  <c r="I3947" i="1"/>
  <c r="K3929" i="1"/>
  <c r="F48" i="32"/>
  <c r="H48" i="32" s="1"/>
  <c r="D111" i="32"/>
  <c r="F111" i="32" s="1"/>
  <c r="K3578" i="1"/>
  <c r="K3580" i="1" s="1"/>
  <c r="K3581" i="1" s="1"/>
  <c r="K3591" i="1" s="1"/>
  <c r="I3592" i="1" s="1"/>
  <c r="I3587" i="1"/>
  <c r="K3587" i="1" s="1"/>
  <c r="K3589" i="1" s="1"/>
  <c r="K3590" i="1" s="1"/>
  <c r="J3592" i="1" s="1"/>
  <c r="J3593" i="1" s="1"/>
  <c r="J3594" i="1" s="1"/>
  <c r="J3595" i="1" s="1"/>
  <c r="K547" i="11"/>
  <c r="K548" i="11" s="1"/>
  <c r="K635" i="11" s="1"/>
  <c r="R140" i="1"/>
  <c r="R144" i="1" s="1"/>
  <c r="C562" i="55" s="1"/>
  <c r="K89" i="11"/>
  <c r="L90" i="11" s="1"/>
  <c r="L91" i="11" s="1"/>
  <c r="K35" i="1"/>
  <c r="V1284" i="1"/>
  <c r="X1284" i="1" s="1"/>
  <c r="K1255" i="1"/>
  <c r="K1201" i="1"/>
  <c r="R1602" i="1"/>
  <c r="R1607" i="1" s="1"/>
  <c r="R1609" i="1" s="1"/>
  <c r="K3227" i="1"/>
  <c r="K154" i="11"/>
  <c r="K2937" i="27"/>
  <c r="I3055" i="27"/>
  <c r="K3055" i="27" s="1"/>
  <c r="L446" i="11"/>
  <c r="K2277" i="1"/>
  <c r="C432" i="55" s="1"/>
  <c r="F38" i="71" s="1"/>
  <c r="AE3546" i="1"/>
  <c r="K3546" i="1"/>
  <c r="P3550" i="1"/>
  <c r="R3550" i="1" s="1"/>
  <c r="V3546" i="1"/>
  <c r="K3891" i="27"/>
  <c r="K1357" i="1"/>
  <c r="K1880" i="1"/>
  <c r="K1882" i="1" s="1"/>
  <c r="C376" i="55" s="1"/>
  <c r="F59" i="71" s="1"/>
  <c r="K2689" i="1"/>
  <c r="K2690" i="1" s="1"/>
  <c r="C717" i="55" s="1"/>
  <c r="K3354" i="1"/>
  <c r="K3357" i="1" s="1"/>
  <c r="K3358" i="1" s="1"/>
  <c r="C1514" i="55" s="1"/>
  <c r="F43" i="71" s="1"/>
  <c r="AC13" i="27"/>
  <c r="C72" i="27" s="1"/>
  <c r="Z37" i="27"/>
  <c r="AC37" i="27" s="1"/>
  <c r="I241" i="27" s="1"/>
  <c r="K241" i="27" s="1"/>
  <c r="K246" i="27" s="1"/>
  <c r="K248" i="27" s="1"/>
  <c r="Z14" i="27"/>
  <c r="D691" i="25"/>
  <c r="F691" i="25" s="1"/>
  <c r="F655" i="25"/>
  <c r="I3278" i="27"/>
  <c r="K3265" i="27"/>
  <c r="K3268" i="27" s="1"/>
  <c r="K3269" i="27" s="1"/>
  <c r="K3261" i="27" s="1"/>
  <c r="K3262" i="27" s="1"/>
  <c r="I3885" i="27"/>
  <c r="K3049" i="27"/>
  <c r="I3072" i="27"/>
  <c r="I4012" i="1"/>
  <c r="K3996" i="1"/>
  <c r="K1419" i="1"/>
  <c r="K1406" i="1"/>
  <c r="K402" i="11"/>
  <c r="K2275" i="1" s="1"/>
  <c r="C430" i="55" s="1"/>
  <c r="K146" i="11"/>
  <c r="X1393" i="1"/>
  <c r="V1409" i="1"/>
  <c r="P2573" i="1"/>
  <c r="R2573" i="1" s="1"/>
  <c r="K2572" i="1"/>
  <c r="I2607" i="1"/>
  <c r="P2575" i="1"/>
  <c r="R2575" i="1" s="1"/>
  <c r="K2574" i="1"/>
  <c r="M2581" i="1"/>
  <c r="O2581" i="1" s="1"/>
  <c r="O2583" i="1" s="1"/>
  <c r="O2584" i="1" s="1"/>
  <c r="K462" i="11"/>
  <c r="L462" i="11" s="1"/>
  <c r="K931" i="11"/>
  <c r="K3243" i="1"/>
  <c r="AG3559" i="1"/>
  <c r="V3622" i="1"/>
  <c r="I3421" i="27"/>
  <c r="K3402" i="27"/>
  <c r="I3397" i="27" s="1"/>
  <c r="K3397" i="27" s="1"/>
  <c r="L3397" i="27" s="1"/>
  <c r="M3397" i="27" s="1"/>
  <c r="N3397" i="27" s="1"/>
  <c r="O3397" i="27" s="1"/>
  <c r="I3904" i="27"/>
  <c r="I2972" i="27"/>
  <c r="K2972" i="27" s="1"/>
  <c r="K2951" i="27"/>
  <c r="I2961" i="27"/>
  <c r="D535" i="64"/>
  <c r="F410" i="64"/>
  <c r="V1458" i="1"/>
  <c r="R1497" i="1"/>
  <c r="R1640" i="1"/>
  <c r="C890" i="55" s="1"/>
  <c r="P1498" i="1"/>
  <c r="R1467" i="1"/>
  <c r="V678" i="1"/>
  <c r="D44" i="32"/>
  <c r="X708" i="1"/>
  <c r="Z708" i="1" s="1"/>
  <c r="AD1410" i="1"/>
  <c r="AB1427" i="1"/>
  <c r="AD1427" i="1" s="1"/>
  <c r="AB3624" i="1"/>
  <c r="AD3624" i="1" s="1"/>
  <c r="X3624" i="1"/>
  <c r="P1499" i="1"/>
  <c r="R1468" i="1"/>
  <c r="P1121" i="1"/>
  <c r="R1100" i="1"/>
  <c r="K3057" i="27"/>
  <c r="I3892" i="27"/>
  <c r="Z42" i="1"/>
  <c r="AC42" i="1" s="1"/>
  <c r="Z45" i="1"/>
  <c r="AC45" i="1" s="1"/>
  <c r="AC41" i="1"/>
  <c r="K990" i="11"/>
  <c r="K1093" i="11"/>
  <c r="R1490" i="1"/>
  <c r="V1451" i="1"/>
  <c r="AG3556" i="1"/>
  <c r="V3619" i="1"/>
  <c r="L156" i="11"/>
  <c r="K157" i="11"/>
  <c r="R1221" i="1"/>
  <c r="T1221" i="1" s="1"/>
  <c r="P1263" i="1"/>
  <c r="AD1374" i="1"/>
  <c r="AB1391" i="1"/>
  <c r="AD1391" i="1" s="1"/>
  <c r="I3077" i="1"/>
  <c r="K3077" i="1" s="1"/>
  <c r="P3065" i="1"/>
  <c r="R3065" i="1" s="1"/>
  <c r="K3058" i="1"/>
  <c r="AG3557" i="1"/>
  <c r="V3620" i="1"/>
  <c r="Z13" i="1"/>
  <c r="AC13" i="1" s="1"/>
  <c r="C72" i="1" s="1"/>
  <c r="F76" i="25"/>
  <c r="D65" i="25" s="1"/>
  <c r="D93" i="25" s="1"/>
  <c r="F93" i="25" s="1"/>
  <c r="D114" i="50"/>
  <c r="F114" i="50" s="1"/>
  <c r="F51" i="50"/>
  <c r="AB1395" i="1"/>
  <c r="AD1395" i="1" s="1"/>
  <c r="AD1378" i="1"/>
  <c r="K102" i="27"/>
  <c r="K104" i="27"/>
  <c r="K105" i="27" s="1"/>
  <c r="K1128" i="11"/>
  <c r="I1141" i="11"/>
  <c r="K4019" i="1"/>
  <c r="I4020" i="1"/>
  <c r="R3328" i="1"/>
  <c r="P3363" i="1"/>
  <c r="R3363" i="1" s="1"/>
  <c r="F46" i="50"/>
  <c r="D109" i="50"/>
  <c r="F109" i="50" s="1"/>
  <c r="I1065" i="11"/>
  <c r="K1065" i="11" s="1"/>
  <c r="K1076" i="11" s="1"/>
  <c r="K220" i="11"/>
  <c r="J539" i="1"/>
  <c r="W538" i="1"/>
  <c r="AC538" i="1" s="1"/>
  <c r="AJ538" i="1" s="1"/>
  <c r="I3886" i="27"/>
  <c r="I3073" i="27"/>
  <c r="K3050" i="27"/>
  <c r="AD1406" i="1"/>
  <c r="AB1423" i="1"/>
  <c r="AD1423" i="1" s="1"/>
  <c r="AB1394" i="1"/>
  <c r="AD1394" i="1" s="1"/>
  <c r="AD1377" i="1"/>
  <c r="F587" i="25"/>
  <c r="D622" i="25"/>
  <c r="P1465" i="1"/>
  <c r="R1448" i="1"/>
  <c r="R3115" i="27"/>
  <c r="P3129" i="27"/>
  <c r="R3129" i="27" s="1"/>
  <c r="J561" i="1"/>
  <c r="W562" i="1"/>
  <c r="AC562" i="1" s="1"/>
  <c r="AJ562" i="1" s="1"/>
  <c r="AJ1202" i="1"/>
  <c r="AC1203" i="1"/>
  <c r="V3573" i="1"/>
  <c r="X3557" i="1"/>
  <c r="K3644" i="1"/>
  <c r="P3468" i="1"/>
  <c r="R3468" i="1" s="1"/>
  <c r="P633" i="27"/>
  <c r="R633" i="27" s="1"/>
  <c r="P590" i="27"/>
  <c r="R590" i="27" s="1"/>
  <c r="P576" i="27"/>
  <c r="R576" i="27" s="1"/>
  <c r="R26" i="11"/>
  <c r="R30" i="11" s="1"/>
  <c r="P59" i="11"/>
  <c r="R59" i="11" s="1"/>
  <c r="R64" i="11" s="1"/>
  <c r="D85" i="25"/>
  <c r="F84" i="25"/>
  <c r="V3587" i="1"/>
  <c r="X3572" i="1"/>
  <c r="K90" i="27"/>
  <c r="P586" i="27"/>
  <c r="R586" i="27" s="1"/>
  <c r="R595" i="27" s="1"/>
  <c r="I2613" i="27"/>
  <c r="K89" i="27"/>
  <c r="P573" i="27"/>
  <c r="R573" i="27" s="1"/>
  <c r="R581" i="27" s="1"/>
  <c r="R1447" i="1"/>
  <c r="P1464" i="1"/>
  <c r="D586" i="25"/>
  <c r="F549" i="25"/>
  <c r="I3961" i="1"/>
  <c r="K3945" i="1"/>
  <c r="K122" i="11"/>
  <c r="I1084" i="11"/>
  <c r="K1084" i="11" s="1"/>
  <c r="W487" i="1"/>
  <c r="AC487" i="1" s="1"/>
  <c r="J663" i="1"/>
  <c r="K3752" i="1"/>
  <c r="K3753" i="1" s="1"/>
  <c r="K2952" i="27"/>
  <c r="I2973" i="27"/>
  <c r="K2973" i="27" s="1"/>
  <c r="K2977" i="27" s="1"/>
  <c r="I3905" i="27"/>
  <c r="AD1376" i="1"/>
  <c r="AB1393" i="1"/>
  <c r="AD1393" i="1" s="1"/>
  <c r="P2857" i="27"/>
  <c r="K2853" i="27"/>
  <c r="K2859" i="27" s="1"/>
  <c r="L2861" i="27" s="1"/>
  <c r="I3004" i="27"/>
  <c r="K3004" i="27" s="1"/>
  <c r="K3010" i="27" s="1"/>
  <c r="I2916" i="27"/>
  <c r="P1540" i="1"/>
  <c r="R1540" i="1" s="1"/>
  <c r="K3995" i="1"/>
  <c r="AS67" i="1"/>
  <c r="AQ91" i="1"/>
  <c r="I3990" i="1"/>
  <c r="K3990" i="1" s="1"/>
  <c r="K3989" i="1"/>
  <c r="K595" i="11"/>
  <c r="I616" i="11"/>
  <c r="AB1409" i="1"/>
  <c r="X1411" i="1"/>
  <c r="I1309" i="27"/>
  <c r="K1309" i="27" s="1"/>
  <c r="I1287" i="27"/>
  <c r="K1287" i="27" s="1"/>
  <c r="L181" i="11"/>
  <c r="L182" i="11" s="1"/>
  <c r="K187" i="11"/>
  <c r="K191" i="11" s="1"/>
  <c r="K192" i="11" s="1"/>
  <c r="C1461" i="55" s="1"/>
  <c r="K180" i="11"/>
  <c r="C1460" i="55" s="1"/>
  <c r="M180" i="11"/>
  <c r="K843" i="11"/>
  <c r="K817" i="11"/>
  <c r="K786" i="11"/>
  <c r="K463" i="11"/>
  <c r="L464" i="11"/>
  <c r="K2508" i="1"/>
  <c r="K2512" i="1" s="1"/>
  <c r="K2515" i="1" s="1"/>
  <c r="C1420" i="55" s="1"/>
  <c r="P2515" i="1"/>
  <c r="R2515" i="1" s="1"/>
  <c r="R2519" i="1" s="1"/>
  <c r="R2521" i="1" s="1"/>
  <c r="C842" i="55" s="1"/>
  <c r="AD1351" i="1"/>
  <c r="AB1368" i="1"/>
  <c r="K268" i="11"/>
  <c r="P241" i="11"/>
  <c r="R241" i="11" s="1"/>
  <c r="P817" i="11"/>
  <c r="R817" i="11" s="1"/>
  <c r="R821" i="11" s="1"/>
  <c r="R822" i="11" s="1"/>
  <c r="P813" i="11" s="1"/>
  <c r="R813" i="11" s="1"/>
  <c r="R815" i="11" s="1"/>
  <c r="R792" i="11"/>
  <c r="R796" i="11" s="1"/>
  <c r="R797" i="11" s="1"/>
  <c r="L931" i="11"/>
  <c r="K2291" i="1"/>
  <c r="I3018" i="1" s="1"/>
  <c r="K3018" i="1" s="1"/>
  <c r="C702" i="55" s="1"/>
  <c r="C844" i="55"/>
  <c r="K28" i="11"/>
  <c r="V3164" i="1"/>
  <c r="X3139" i="1"/>
  <c r="K857" i="11"/>
  <c r="K858" i="11" s="1"/>
  <c r="K861" i="11" s="1"/>
  <c r="K864" i="11" s="1"/>
  <c r="C1489" i="55" s="1"/>
  <c r="C70" i="1"/>
  <c r="I1303" i="1" s="1"/>
  <c r="K1303" i="1" s="1"/>
  <c r="K247" i="1"/>
  <c r="K249" i="1" s="1"/>
  <c r="C50" i="55" s="1"/>
  <c r="K2280" i="1"/>
  <c r="C454" i="55" s="1"/>
  <c r="L913" i="11"/>
  <c r="M913" i="11"/>
  <c r="K2548" i="1"/>
  <c r="C837" i="55"/>
  <c r="G830" i="64"/>
  <c r="G844" i="64" s="1"/>
  <c r="G845" i="64" s="1"/>
  <c r="G846" i="64" s="1"/>
  <c r="G850" i="64" s="1"/>
  <c r="G851" i="64" s="1"/>
  <c r="E885" i="64"/>
  <c r="G885" i="64" s="1"/>
  <c r="G899" i="64" s="1"/>
  <c r="G900" i="64" s="1"/>
  <c r="G901" i="64" s="1"/>
  <c r="G905" i="64" s="1"/>
  <c r="G906" i="64" s="1"/>
  <c r="L735" i="11"/>
  <c r="K736" i="11"/>
  <c r="M737" i="11"/>
  <c r="P2574" i="1"/>
  <c r="R2574" i="1" s="1"/>
  <c r="R2578" i="1" s="1"/>
  <c r="R2580" i="1" s="1"/>
  <c r="C1421" i="55" s="1"/>
  <c r="I2608" i="1"/>
  <c r="K2573" i="1"/>
  <c r="K210" i="11"/>
  <c r="K212" i="11" s="1"/>
  <c r="K131" i="11"/>
  <c r="K593" i="11"/>
  <c r="I615" i="11"/>
  <c r="P414" i="1"/>
  <c r="R414" i="1" s="1"/>
  <c r="R416" i="1" s="1"/>
  <c r="R418" i="1" s="1"/>
  <c r="C349" i="55"/>
  <c r="F99" i="25"/>
  <c r="D120" i="25"/>
  <c r="R1894" i="1"/>
  <c r="V1413" i="1"/>
  <c r="X1397" i="1"/>
  <c r="R1469" i="1"/>
  <c r="P1500" i="1"/>
  <c r="V1430" i="1"/>
  <c r="X1430" i="1" s="1"/>
  <c r="P1477" i="1"/>
  <c r="X2781" i="1"/>
  <c r="V2782" i="1"/>
  <c r="X2782" i="1" s="1"/>
  <c r="I3146" i="1"/>
  <c r="I2633" i="1"/>
  <c r="I2813" i="1"/>
  <c r="C88" i="1"/>
  <c r="I3318" i="1"/>
  <c r="K3318" i="1" s="1"/>
  <c r="P3188" i="1"/>
  <c r="I2662" i="1"/>
  <c r="R943" i="1"/>
  <c r="P944" i="1"/>
  <c r="R944" i="1" s="1"/>
  <c r="AC27" i="1"/>
  <c r="Z28" i="1"/>
  <c r="AC28" i="1" s="1"/>
  <c r="K2252" i="1"/>
  <c r="P1047" i="1"/>
  <c r="R1047" i="1" s="1"/>
  <c r="R1046" i="1"/>
  <c r="P1244" i="1"/>
  <c r="R1244" i="1" s="1"/>
  <c r="R1267" i="1"/>
  <c r="V1247" i="1"/>
  <c r="P1383" i="1"/>
  <c r="R1383" i="1" s="1"/>
  <c r="V1301" i="1"/>
  <c r="P1237" i="1"/>
  <c r="R1237" i="1" s="1"/>
  <c r="V1240" i="1"/>
  <c r="R1260" i="1"/>
  <c r="P1266" i="1"/>
  <c r="R1224" i="1"/>
  <c r="T1224" i="1" s="1"/>
  <c r="X3659" i="1"/>
  <c r="X3667" i="1" s="1"/>
  <c r="X3668" i="1" s="1"/>
  <c r="C921" i="55" s="1"/>
  <c r="V3689" i="1"/>
  <c r="AE3660" i="1"/>
  <c r="AG3660" i="1" s="1"/>
  <c r="AG3661" i="1" s="1"/>
  <c r="AG3662" i="1" s="1"/>
  <c r="K3174" i="1"/>
  <c r="K3175" i="1" s="1"/>
  <c r="C1508" i="55" s="1"/>
  <c r="V3586" i="1"/>
  <c r="X3571" i="1"/>
  <c r="I3268" i="1"/>
  <c r="K3268" i="1" s="1"/>
  <c r="L3234" i="1" s="1"/>
  <c r="K3183" i="1"/>
  <c r="I3254" i="1"/>
  <c r="K3254" i="1" s="1"/>
  <c r="V3721" i="1"/>
  <c r="X3721" i="1" s="1"/>
  <c r="X3723" i="1" s="1"/>
  <c r="X3724" i="1" s="1"/>
  <c r="X3707" i="1"/>
  <c r="X3709" i="1" s="1"/>
  <c r="X3710" i="1" s="1"/>
  <c r="R1223" i="1"/>
  <c r="T1223" i="1" s="1"/>
  <c r="P1265" i="1"/>
  <c r="D122" i="25"/>
  <c r="F101" i="25"/>
  <c r="K3184" i="1"/>
  <c r="I3255" i="1"/>
  <c r="K3255" i="1" s="1"/>
  <c r="I3269" i="1"/>
  <c r="K3269" i="1" s="1"/>
  <c r="L3235" i="1" s="1"/>
  <c r="F65" i="25"/>
  <c r="F68" i="25" s="1"/>
  <c r="F69" i="25" s="1"/>
  <c r="C725" i="55"/>
  <c r="S1326" i="1"/>
  <c r="I3211" i="1"/>
  <c r="I3242" i="1"/>
  <c r="K3197" i="1"/>
  <c r="K3200" i="1" s="1"/>
  <c r="K3202" i="1" s="1"/>
  <c r="C1509" i="55" s="1"/>
  <c r="F46" i="71" s="1"/>
  <c r="AS92" i="1"/>
  <c r="AQ112" i="1"/>
  <c r="AB1247" i="1"/>
  <c r="X1242" i="1"/>
  <c r="V1241" i="1"/>
  <c r="R1261" i="1"/>
  <c r="P1238" i="1"/>
  <c r="R1238" i="1" s="1"/>
  <c r="I1752" i="1"/>
  <c r="K1752" i="1" s="1"/>
  <c r="I184" i="1"/>
  <c r="K184" i="1" s="1"/>
  <c r="K189" i="1" s="1"/>
  <c r="C42" i="55" s="1"/>
  <c r="I154" i="1"/>
  <c r="K154" i="1" s="1"/>
  <c r="V3563" i="1"/>
  <c r="V3579" i="1" s="1"/>
  <c r="V3527" i="1"/>
  <c r="F28" i="50"/>
  <c r="C907" i="55" s="1"/>
  <c r="X86" i="1"/>
  <c r="X88" i="1" s="1"/>
  <c r="X90" i="1" s="1"/>
  <c r="X91" i="1" s="1"/>
  <c r="I1987" i="1"/>
  <c r="Z17" i="1"/>
  <c r="AC17" i="1" s="1"/>
  <c r="AC16" i="1"/>
  <c r="AC46" i="1"/>
  <c r="Z47" i="1"/>
  <c r="AC47" i="1" s="1"/>
  <c r="AD642" i="1"/>
  <c r="AF642" i="1" s="1"/>
  <c r="X642" i="1"/>
  <c r="C71" i="1"/>
  <c r="P1142" i="1" s="1"/>
  <c r="V801" i="1"/>
  <c r="K3779" i="27"/>
  <c r="K3781" i="27" s="1"/>
  <c r="K3774" i="27"/>
  <c r="R3774" i="27"/>
  <c r="R3779" i="27"/>
  <c r="R3781" i="27" s="1"/>
  <c r="F121" i="25"/>
  <c r="D148" i="25"/>
  <c r="F298" i="64"/>
  <c r="F301" i="64" s="1"/>
  <c r="G81" i="64"/>
  <c r="F81" i="64"/>
  <c r="C942" i="55" s="1"/>
  <c r="I2381" i="27"/>
  <c r="I2392" i="27"/>
  <c r="I2393" i="27" s="1"/>
  <c r="J2378" i="27" s="1"/>
  <c r="X1372" i="1"/>
  <c r="X1382" i="1" s="1"/>
  <c r="C315" i="55" s="1"/>
  <c r="V1389" i="1"/>
  <c r="I3887" i="27"/>
  <c r="K3051" i="27"/>
  <c r="V553" i="1"/>
  <c r="X553" i="1" s="1"/>
  <c r="AB529" i="1"/>
  <c r="X529" i="1"/>
  <c r="K2384" i="1"/>
  <c r="I2398" i="1"/>
  <c r="K1393" i="1"/>
  <c r="K1646" i="1"/>
  <c r="I3641" i="1"/>
  <c r="P1334" i="1"/>
  <c r="K1305" i="1"/>
  <c r="K583" i="1"/>
  <c r="K587" i="1" s="1"/>
  <c r="K589" i="1" s="1"/>
  <c r="I590" i="1" s="1"/>
  <c r="K590" i="1" s="1"/>
  <c r="V583" i="1"/>
  <c r="X583" i="1" s="1"/>
  <c r="X587" i="1" s="1"/>
  <c r="X589" i="1" s="1"/>
  <c r="X590" i="1" s="1"/>
  <c r="P3463" i="1"/>
  <c r="R3463" i="1" s="1"/>
  <c r="K3457" i="1"/>
  <c r="I3824" i="1"/>
  <c r="K3824" i="1" s="1"/>
  <c r="I3391" i="1"/>
  <c r="K3322" i="1"/>
  <c r="V1406" i="1"/>
  <c r="X1390" i="1"/>
  <c r="K2558" i="27"/>
  <c r="K2566" i="27" s="1"/>
  <c r="K2568" i="27" s="1"/>
  <c r="I2589" i="27"/>
  <c r="K2589" i="27" s="1"/>
  <c r="K2597" i="27" s="1"/>
  <c r="K2599" i="27" s="1"/>
  <c r="X3120" i="1"/>
  <c r="I4070" i="1"/>
  <c r="K4070" i="1" s="1"/>
  <c r="V3137" i="1"/>
  <c r="I3629" i="1"/>
  <c r="K3629" i="1" s="1"/>
  <c r="K3608" i="1"/>
  <c r="C1450" i="55"/>
  <c r="C615" i="55"/>
  <c r="C889" i="55"/>
  <c r="C878" i="1"/>
  <c r="K3424" i="27"/>
  <c r="I3446" i="27"/>
  <c r="K1129" i="1"/>
  <c r="X1410" i="1"/>
  <c r="AB1408" i="1"/>
  <c r="AB1390" i="1"/>
  <c r="AD1390" i="1" s="1"/>
  <c r="AD1373" i="1"/>
  <c r="K670" i="11"/>
  <c r="C728" i="55" s="1"/>
  <c r="L670" i="11"/>
  <c r="K3172" i="27"/>
  <c r="K3173" i="27" s="1"/>
  <c r="L3173" i="27" s="1"/>
  <c r="K3153" i="27"/>
  <c r="K3154" i="27" s="1"/>
  <c r="K3183" i="27"/>
  <c r="K3184" i="27" s="1"/>
  <c r="L3184" i="27" s="1"/>
  <c r="I3906" i="27"/>
  <c r="K2953" i="27"/>
  <c r="AB1370" i="1"/>
  <c r="AD1353" i="1"/>
  <c r="AD1363" i="1" s="1"/>
  <c r="C316" i="55" s="1"/>
  <c r="K337" i="1"/>
  <c r="V337" i="1"/>
  <c r="V381" i="1"/>
  <c r="K381" i="1"/>
  <c r="K865" i="1"/>
  <c r="P858" i="1"/>
  <c r="R858" i="1" s="1"/>
  <c r="I3305" i="1"/>
  <c r="K3305" i="1" s="1"/>
  <c r="I3926" i="1"/>
  <c r="V865" i="1"/>
  <c r="X865" i="1" s="1"/>
  <c r="V395" i="1"/>
  <c r="K395" i="1"/>
  <c r="P2008" i="1"/>
  <c r="K2007" i="1"/>
  <c r="K2015" i="1" s="1"/>
  <c r="C389" i="55" s="1"/>
  <c r="AB478" i="1"/>
  <c r="AD478" i="1" s="1"/>
  <c r="X478" i="1"/>
  <c r="K1945" i="1"/>
  <c r="K1948" i="1" s="1"/>
  <c r="C379" i="55" s="1"/>
  <c r="I3566" i="1"/>
  <c r="F416" i="64"/>
  <c r="F420" i="64" s="1"/>
  <c r="D541" i="64"/>
  <c r="AD1375" i="1"/>
  <c r="AB1392" i="1"/>
  <c r="AD1392" i="1" s="1"/>
  <c r="P2981" i="1"/>
  <c r="R2981" i="1" s="1"/>
  <c r="R2986" i="1" s="1"/>
  <c r="R2988" i="1" s="1"/>
  <c r="C1451" i="55" s="1"/>
  <c r="K2974" i="1"/>
  <c r="K2979" i="1" s="1"/>
  <c r="K2981" i="1" s="1"/>
  <c r="C616" i="55" s="1"/>
  <c r="I3059" i="1"/>
  <c r="I878" i="1"/>
  <c r="C672" i="55"/>
  <c r="C359" i="55"/>
  <c r="I3921" i="1"/>
  <c r="P2094" i="1"/>
  <c r="AU135" i="1"/>
  <c r="AV135" i="1" s="1"/>
  <c r="C599" i="55"/>
  <c r="C600" i="55"/>
  <c r="I129" i="11"/>
  <c r="K109" i="11"/>
  <c r="K113" i="11" s="1"/>
  <c r="I227" i="11"/>
  <c r="X119" i="1"/>
  <c r="C568" i="55"/>
  <c r="I816" i="27"/>
  <c r="K816" i="27" s="1"/>
  <c r="I834" i="27"/>
  <c r="K834" i="27" s="1"/>
  <c r="I851" i="27"/>
  <c r="K851" i="27" s="1"/>
  <c r="I2671" i="27"/>
  <c r="K2671" i="27" s="1"/>
  <c r="K2674" i="27" s="1"/>
  <c r="K2676" i="27" s="1"/>
  <c r="K2269" i="27"/>
  <c r="K2272" i="27" s="1"/>
  <c r="K2274" i="27" s="1"/>
  <c r="K2414" i="27"/>
  <c r="K2416" i="27" s="1"/>
  <c r="I2422" i="27" s="1"/>
  <c r="K2422" i="27" s="1"/>
  <c r="K2433" i="27" s="1"/>
  <c r="K2435" i="27" s="1"/>
  <c r="K2928" i="1"/>
  <c r="I2947" i="1"/>
  <c r="K3194" i="27"/>
  <c r="K3195" i="27" s="1"/>
  <c r="L3195" i="27" s="1"/>
  <c r="K3209" i="27"/>
  <c r="K3210" i="27" s="1"/>
  <c r="L3210" i="27" s="1"/>
  <c r="K3220" i="27"/>
  <c r="K3221" i="27" s="1"/>
  <c r="R1428" i="1"/>
  <c r="R1438" i="1" s="1"/>
  <c r="C318" i="55" s="1"/>
  <c r="P1444" i="1"/>
  <c r="F683" i="64"/>
  <c r="F686" i="64" s="1"/>
  <c r="K1222" i="1"/>
  <c r="P1217" i="1"/>
  <c r="K2134" i="1"/>
  <c r="V313" i="1"/>
  <c r="K313" i="1"/>
  <c r="V883" i="1"/>
  <c r="K883" i="1"/>
  <c r="C675" i="55"/>
  <c r="C895" i="55"/>
  <c r="V1280" i="1"/>
  <c r="X1280" i="1" s="1"/>
  <c r="K1251" i="1"/>
  <c r="I708" i="1"/>
  <c r="K708" i="1" s="1"/>
  <c r="C277" i="55"/>
  <c r="C1492" i="55"/>
  <c r="L943" i="11"/>
  <c r="I689" i="1"/>
  <c r="K689" i="1" s="1"/>
  <c r="C272" i="55"/>
  <c r="V3558" i="1"/>
  <c r="V3522" i="1"/>
  <c r="X3522" i="1" s="1"/>
  <c r="X3542" i="1"/>
  <c r="AU166" i="1"/>
  <c r="AV166" i="1" s="1"/>
  <c r="C594" i="55"/>
  <c r="I2386" i="1"/>
  <c r="F360" i="64"/>
  <c r="F361" i="64" s="1"/>
  <c r="F364" i="64" s="1"/>
  <c r="C569" i="55"/>
  <c r="X134" i="1"/>
  <c r="M2076" i="1"/>
  <c r="R2076" i="1" s="1"/>
  <c r="K2364" i="27"/>
  <c r="I2365" i="27" s="1"/>
  <c r="I2367" i="27" s="1"/>
  <c r="K2367" i="27" s="1"/>
  <c r="K2376" i="27" s="1"/>
  <c r="K2444" i="27"/>
  <c r="K2446" i="27" s="1"/>
  <c r="R404" i="27"/>
  <c r="R406" i="27" s="1"/>
  <c r="P413" i="27" s="1"/>
  <c r="R413" i="27" s="1"/>
  <c r="R415" i="27" s="1"/>
  <c r="R417" i="27" s="1"/>
  <c r="C19" i="55"/>
  <c r="K120" i="1"/>
  <c r="I584" i="27"/>
  <c r="K584" i="27"/>
  <c r="AR48" i="64"/>
  <c r="AR49" i="64" s="1"/>
  <c r="AR52" i="64" s="1"/>
  <c r="AR53" i="64" s="1"/>
  <c r="P1614" i="1"/>
  <c r="R1614" i="1" s="1"/>
  <c r="R1619" i="1" s="1"/>
  <c r="R1621" i="1" s="1"/>
  <c r="K1613" i="1"/>
  <c r="K1618" i="1" s="1"/>
  <c r="K1620" i="1" s="1"/>
  <c r="C360" i="55" s="1"/>
  <c r="C361" i="55"/>
  <c r="D20" i="71" s="1"/>
  <c r="F20" i="71" s="1"/>
  <c r="C673" i="55"/>
  <c r="P1861" i="1"/>
  <c r="K1845" i="1"/>
  <c r="K1852" i="1" s="1"/>
  <c r="K1854" i="1" s="1"/>
  <c r="I1888" i="1" s="1"/>
  <c r="K2150" i="1"/>
  <c r="P2157" i="1"/>
  <c r="R2157" i="1" s="1"/>
  <c r="P2026" i="1"/>
  <c r="R2026" i="1" s="1"/>
  <c r="R2037" i="1" s="1"/>
  <c r="C872" i="55" s="1"/>
  <c r="K2026" i="1"/>
  <c r="K2034" i="1" s="1"/>
  <c r="C390" i="55" s="1"/>
  <c r="V357" i="1"/>
  <c r="K357" i="1"/>
  <c r="I612" i="1"/>
  <c r="K612" i="1"/>
  <c r="AB1265" i="1"/>
  <c r="AD1265" i="1" s="1"/>
  <c r="I1286" i="1"/>
  <c r="K1286" i="1" s="1"/>
  <c r="K1272" i="1"/>
  <c r="K537" i="11"/>
  <c r="I532" i="11" s="1"/>
  <c r="K532" i="11" s="1"/>
  <c r="K535" i="11" s="1"/>
  <c r="L535" i="11" s="1"/>
  <c r="I571" i="11"/>
  <c r="D603" i="64"/>
  <c r="F603" i="64" s="1"/>
  <c r="F540" i="64"/>
  <c r="R1445" i="1"/>
  <c r="P1462" i="1"/>
  <c r="AE3558" i="1"/>
  <c r="AG3542" i="1"/>
  <c r="K731" i="27"/>
  <c r="K733" i="27" s="1"/>
  <c r="I740" i="27"/>
  <c r="K740" i="27" s="1"/>
  <c r="K755" i="27" s="1"/>
  <c r="K757" i="27" s="1"/>
  <c r="I2938" i="1"/>
  <c r="K2938" i="1" s="1"/>
  <c r="I2929" i="1"/>
  <c r="C596" i="55"/>
  <c r="X89" i="1"/>
  <c r="K708" i="11"/>
  <c r="C699" i="55" s="1"/>
  <c r="L709" i="11"/>
  <c r="L192" i="11"/>
  <c r="K3427" i="27"/>
  <c r="K3428" i="27" s="1"/>
  <c r="K3417" i="27" s="1"/>
  <c r="L3417" i="27" s="1"/>
  <c r="R3075" i="27"/>
  <c r="L548" i="11"/>
  <c r="K3617" i="27"/>
  <c r="K3648" i="27"/>
  <c r="K3674" i="27"/>
  <c r="I3908" i="27"/>
  <c r="I2985" i="27"/>
  <c r="K2985" i="27" s="1"/>
  <c r="K2988" i="27" s="1"/>
  <c r="I2958" i="27"/>
  <c r="K2958" i="27" s="1"/>
  <c r="K2955" i="27"/>
  <c r="I3907" i="27"/>
  <c r="K2954" i="27"/>
  <c r="I3747" i="27"/>
  <c r="K3747" i="27" s="1"/>
  <c r="K3749" i="27" s="1"/>
  <c r="K3750" i="27" s="1"/>
  <c r="K3743" i="27" s="1"/>
  <c r="K3730" i="27"/>
  <c r="K3733" i="27" s="1"/>
  <c r="K3726" i="27" s="1"/>
  <c r="K3727" i="27" s="1"/>
  <c r="M3727" i="27" s="1"/>
  <c r="K625" i="11"/>
  <c r="K627" i="11" s="1"/>
  <c r="K2290" i="1" s="1"/>
  <c r="C453" i="55" s="1"/>
  <c r="L517" i="11"/>
  <c r="K2879" i="27"/>
  <c r="L3502" i="27"/>
  <c r="K3501" i="27"/>
  <c r="I3888" i="27"/>
  <c r="K3052" i="27"/>
  <c r="K3812" i="27" l="1"/>
  <c r="K3814" i="27" s="1"/>
  <c r="K3915" i="27"/>
  <c r="L3690" i="27"/>
  <c r="K3689" i="27"/>
  <c r="K3692" i="27" s="1"/>
  <c r="K3695" i="27" s="1"/>
  <c r="X1450" i="1"/>
  <c r="AB1448" i="1"/>
  <c r="AD1448" i="1" s="1"/>
  <c r="P1494" i="1"/>
  <c r="R1463" i="1"/>
  <c r="V1424" i="1"/>
  <c r="X1424" i="1" s="1"/>
  <c r="R1443" i="1"/>
  <c r="P1460" i="1"/>
  <c r="P3448" i="1"/>
  <c r="R3404" i="1"/>
  <c r="AB1434" i="1"/>
  <c r="AD1434" i="1" s="1"/>
  <c r="X1436" i="1"/>
  <c r="X1407" i="1"/>
  <c r="AB1405" i="1"/>
  <c r="X3559" i="1"/>
  <c r="V3575" i="1"/>
  <c r="C1471" i="55"/>
  <c r="I1644" i="1"/>
  <c r="K1644" i="1" s="1"/>
  <c r="K3998" i="1"/>
  <c r="K3999" i="1" s="1"/>
  <c r="V1404" i="1"/>
  <c r="X1388" i="1"/>
  <c r="L402" i="11"/>
  <c r="K2577" i="1"/>
  <c r="K2580" i="1" s="1"/>
  <c r="V1443" i="1"/>
  <c r="R1482" i="1"/>
  <c r="AG391" i="1"/>
  <c r="AE427" i="1"/>
  <c r="AG427" i="1" s="1"/>
  <c r="K403" i="11"/>
  <c r="D660" i="25"/>
  <c r="F624" i="25"/>
  <c r="L2862" i="27"/>
  <c r="M89" i="11"/>
  <c r="K2860" i="27"/>
  <c r="K2184" i="27" s="1"/>
  <c r="K90" i="11"/>
  <c r="C690" i="55" s="1"/>
  <c r="D32" i="71" s="1"/>
  <c r="F32" i="71" s="1"/>
  <c r="K596" i="11"/>
  <c r="K597" i="11" s="1"/>
  <c r="K586" i="11" s="1"/>
  <c r="L586" i="11" s="1"/>
  <c r="M586" i="11" s="1"/>
  <c r="N586" i="11" s="1"/>
  <c r="O586" i="11" s="1"/>
  <c r="M463" i="11"/>
  <c r="I3323" i="27"/>
  <c r="K3323" i="27" s="1"/>
  <c r="K3298" i="27"/>
  <c r="C894" i="55"/>
  <c r="C7" i="55"/>
  <c r="L89" i="1"/>
  <c r="M89" i="1" s="1"/>
  <c r="I1767" i="1"/>
  <c r="K1767" i="1" s="1"/>
  <c r="K1775" i="1" s="1"/>
  <c r="C371" i="55" s="1"/>
  <c r="P2344" i="1"/>
  <c r="R2344" i="1" s="1"/>
  <c r="C9" i="55"/>
  <c r="K91" i="1"/>
  <c r="C10" i="55" s="1"/>
  <c r="C12" i="55"/>
  <c r="K102" i="1"/>
  <c r="C13" i="55" s="1"/>
  <c r="K104" i="1"/>
  <c r="I3963" i="1"/>
  <c r="K3947" i="1"/>
  <c r="K2386" i="1"/>
  <c r="K3592" i="1"/>
  <c r="I3593" i="1" s="1"/>
  <c r="K3593" i="1" s="1"/>
  <c r="I3594" i="1" s="1"/>
  <c r="K3594" i="1" s="1"/>
  <c r="I3595" i="1" s="1"/>
  <c r="K3907" i="27"/>
  <c r="R2008" i="1"/>
  <c r="R2018" i="1" s="1"/>
  <c r="C871" i="55" s="1"/>
  <c r="D27" i="71" s="1"/>
  <c r="F27" i="71" s="1"/>
  <c r="K3886" i="27"/>
  <c r="K3892" i="27"/>
  <c r="AB3622" i="1"/>
  <c r="AD3622" i="1" s="1"/>
  <c r="X3622" i="1"/>
  <c r="K2266" i="1"/>
  <c r="C421" i="55" s="1"/>
  <c r="C692" i="55"/>
  <c r="L146" i="11"/>
  <c r="C918" i="55"/>
  <c r="AC14" i="27"/>
  <c r="Z15" i="27"/>
  <c r="AC15" i="27" s="1"/>
  <c r="AE3562" i="1"/>
  <c r="AG3546" i="1"/>
  <c r="K3641" i="1"/>
  <c r="K3647" i="1" s="1"/>
  <c r="K3648" i="1" s="1"/>
  <c r="C896" i="55" s="1"/>
  <c r="K3887" i="27"/>
  <c r="D597" i="64"/>
  <c r="F597" i="64" s="1"/>
  <c r="F535" i="64"/>
  <c r="K3904" i="27"/>
  <c r="K3885" i="27"/>
  <c r="I3895" i="27"/>
  <c r="V3562" i="1"/>
  <c r="V3526" i="1"/>
  <c r="X3526" i="1" s="1"/>
  <c r="X3546" i="1"/>
  <c r="K637" i="11"/>
  <c r="L637" i="11" s="1"/>
  <c r="K3888" i="27"/>
  <c r="X1458" i="1"/>
  <c r="AB1456" i="1"/>
  <c r="AD1456" i="1" s="1"/>
  <c r="I3914" i="27"/>
  <c r="K2961" i="27"/>
  <c r="I4027" i="1"/>
  <c r="I41" i="25"/>
  <c r="K4012" i="1"/>
  <c r="K4014" i="1" s="1"/>
  <c r="K4015" i="1" s="1"/>
  <c r="K3906" i="27"/>
  <c r="K3905" i="27"/>
  <c r="K3421" i="27"/>
  <c r="I3416" i="27" s="1"/>
  <c r="K3416" i="27" s="1"/>
  <c r="L3416" i="27" s="1"/>
  <c r="I3443" i="27"/>
  <c r="K2607" i="1"/>
  <c r="H3852" i="1"/>
  <c r="X1409" i="1"/>
  <c r="AB1407" i="1"/>
  <c r="I3931" i="27"/>
  <c r="I3075" i="27"/>
  <c r="K3072" i="27"/>
  <c r="K3278" i="27"/>
  <c r="K3281" i="27" s="1"/>
  <c r="K3282" i="27" s="1"/>
  <c r="K3275" i="27" s="1"/>
  <c r="K3277" i="27" s="1"/>
  <c r="I3337" i="27"/>
  <c r="K3337" i="27" s="1"/>
  <c r="K3339" i="27" s="1"/>
  <c r="K3340" i="27" s="1"/>
  <c r="I3297" i="27"/>
  <c r="Z14" i="1"/>
  <c r="AC14" i="1" s="1"/>
  <c r="I503" i="1"/>
  <c r="K503" i="1" s="1"/>
  <c r="AB3620" i="1"/>
  <c r="AD3620" i="1" s="1"/>
  <c r="X3620" i="1"/>
  <c r="X1451" i="1"/>
  <c r="AB1449" i="1"/>
  <c r="AD1449" i="1" s="1"/>
  <c r="R1263" i="1"/>
  <c r="P1240" i="1"/>
  <c r="R1240" i="1" s="1"/>
  <c r="V1243" i="1"/>
  <c r="P2831" i="1"/>
  <c r="I2824" i="1"/>
  <c r="R1121" i="1"/>
  <c r="M857" i="11"/>
  <c r="L157" i="11"/>
  <c r="K2268" i="1"/>
  <c r="C423" i="55" s="1"/>
  <c r="K158" i="11"/>
  <c r="C694" i="55"/>
  <c r="V335" i="1"/>
  <c r="X335" i="1" s="1"/>
  <c r="V379" i="1"/>
  <c r="P79" i="1"/>
  <c r="R79" i="1" s="1"/>
  <c r="V311" i="1"/>
  <c r="X311" i="1" s="1"/>
  <c r="V355" i="1"/>
  <c r="X355" i="1" s="1"/>
  <c r="F44" i="32"/>
  <c r="H44" i="32" s="1"/>
  <c r="D107" i="32"/>
  <c r="F107" i="32" s="1"/>
  <c r="L859" i="11"/>
  <c r="AQ107" i="1"/>
  <c r="AS107" i="1" s="1"/>
  <c r="AU107" i="1" s="1"/>
  <c r="AV107" i="1" s="1"/>
  <c r="AQ87" i="1"/>
  <c r="AS87" i="1" s="1"/>
  <c r="AQ63" i="1"/>
  <c r="AS63" i="1" s="1"/>
  <c r="AQ132" i="1"/>
  <c r="AS132" i="1" s="1"/>
  <c r="AU132" i="1" s="1"/>
  <c r="AV132" i="1" s="1"/>
  <c r="AQ163" i="1"/>
  <c r="V764" i="1"/>
  <c r="X764" i="1" s="1"/>
  <c r="V732" i="1"/>
  <c r="X732" i="1" s="1"/>
  <c r="X678" i="1"/>
  <c r="D44" i="50"/>
  <c r="X3619" i="1"/>
  <c r="AB3619" i="1"/>
  <c r="AD3619" i="1" s="1"/>
  <c r="AE335" i="1"/>
  <c r="AG335" i="1" s="1"/>
  <c r="AE388" i="1"/>
  <c r="AE364" i="1"/>
  <c r="AG364" i="1" s="1"/>
  <c r="AE311" i="1"/>
  <c r="AG311" i="1" s="1"/>
  <c r="V1460" i="1"/>
  <c r="R1499" i="1"/>
  <c r="R1498" i="1"/>
  <c r="V1459" i="1"/>
  <c r="S33" i="11"/>
  <c r="R32" i="11"/>
  <c r="F103" i="25"/>
  <c r="R65" i="11"/>
  <c r="S67" i="11"/>
  <c r="T65" i="11"/>
  <c r="T64" i="11" s="1"/>
  <c r="K3187" i="1"/>
  <c r="K3188" i="1" s="1"/>
  <c r="C1507" i="55" s="1"/>
  <c r="AD1409" i="1"/>
  <c r="AB1426" i="1"/>
  <c r="AD1426" i="1" s="1"/>
  <c r="D621" i="25"/>
  <c r="F586" i="25"/>
  <c r="I1698" i="27"/>
  <c r="K1698" i="27" s="1"/>
  <c r="K1706" i="27" s="1"/>
  <c r="K91" i="27"/>
  <c r="D86" i="25"/>
  <c r="F85" i="25"/>
  <c r="AJ1203" i="1"/>
  <c r="AC1204" i="1"/>
  <c r="K4020" i="1"/>
  <c r="I4021" i="1"/>
  <c r="K4021" i="1" s="1"/>
  <c r="AQ111" i="1"/>
  <c r="AS91" i="1"/>
  <c r="L3018" i="27"/>
  <c r="L3012" i="27"/>
  <c r="K3011" i="27"/>
  <c r="K3018" i="27"/>
  <c r="K3022" i="27" s="1"/>
  <c r="V3588" i="1"/>
  <c r="X3573" i="1"/>
  <c r="W563" i="1"/>
  <c r="AC563" i="1" s="1"/>
  <c r="AJ563" i="1" s="1"/>
  <c r="J562" i="1"/>
  <c r="P1496" i="1"/>
  <c r="V1426" i="1"/>
  <c r="X1426" i="1" s="1"/>
  <c r="R1465" i="1"/>
  <c r="K3073" i="27"/>
  <c r="I3099" i="27"/>
  <c r="I3932" i="27"/>
  <c r="K3932" i="27" s="1"/>
  <c r="K1077" i="11"/>
  <c r="L1078" i="11"/>
  <c r="M1077" i="11"/>
  <c r="C567" i="55"/>
  <c r="K616" i="11"/>
  <c r="I656" i="11"/>
  <c r="K656" i="11" s="1"/>
  <c r="P2890" i="27"/>
  <c r="R2890" i="27" s="1"/>
  <c r="R2895" i="27" s="1"/>
  <c r="R2857" i="27"/>
  <c r="R2862" i="27" s="1"/>
  <c r="J664" i="1"/>
  <c r="W488" i="1"/>
  <c r="AC488" i="1" s="1"/>
  <c r="K1651" i="1"/>
  <c r="K1653" i="1" s="1"/>
  <c r="C363" i="55" s="1"/>
  <c r="I2940" i="27"/>
  <c r="K2916" i="27"/>
  <c r="K2920" i="27" s="1"/>
  <c r="I3039" i="27"/>
  <c r="K3039" i="27" s="1"/>
  <c r="K3043" i="27" s="1"/>
  <c r="L2977" i="27"/>
  <c r="K2189" i="27"/>
  <c r="C886" i="55"/>
  <c r="I3978" i="1"/>
  <c r="K3978" i="1" s="1"/>
  <c r="K3961" i="1"/>
  <c r="P1495" i="1"/>
  <c r="R1464" i="1"/>
  <c r="V1425" i="1"/>
  <c r="X1425" i="1" s="1"/>
  <c r="I2691" i="27"/>
  <c r="K2691" i="27" s="1"/>
  <c r="K2613" i="27"/>
  <c r="V3604" i="1"/>
  <c r="X3604" i="1" s="1"/>
  <c r="X3587" i="1"/>
  <c r="F622" i="25"/>
  <c r="D658" i="25"/>
  <c r="W539" i="1"/>
  <c r="AC539" i="1" s="1"/>
  <c r="AJ539" i="1" s="1"/>
  <c r="J540" i="1"/>
  <c r="I1153" i="11"/>
  <c r="K1153" i="11" s="1"/>
  <c r="I1174" i="11"/>
  <c r="K1141" i="11"/>
  <c r="K213" i="11"/>
  <c r="C1462" i="55" s="1"/>
  <c r="L213" i="11"/>
  <c r="K615" i="11"/>
  <c r="I655" i="11"/>
  <c r="K655" i="11" s="1"/>
  <c r="C838" i="55"/>
  <c r="K2583" i="1"/>
  <c r="C845" i="55"/>
  <c r="H3853" i="1"/>
  <c r="K2608" i="1"/>
  <c r="K2612" i="1" s="1"/>
  <c r="K2615" i="1" s="1"/>
  <c r="M2615" i="1" s="1"/>
  <c r="L29" i="11"/>
  <c r="K29" i="11"/>
  <c r="K48" i="11"/>
  <c r="R787" i="11"/>
  <c r="R789" i="11" s="1"/>
  <c r="P805" i="11" s="1"/>
  <c r="P787" i="11"/>
  <c r="AD1368" i="1"/>
  <c r="AB1385" i="1"/>
  <c r="AD1385" i="1" s="1"/>
  <c r="C846" i="55"/>
  <c r="X3164" i="1"/>
  <c r="D553" i="25"/>
  <c r="S815" i="11"/>
  <c r="C929" i="55"/>
  <c r="C436" i="55"/>
  <c r="K2281" i="1"/>
  <c r="R955" i="1"/>
  <c r="R957" i="1" s="1"/>
  <c r="R1057" i="1"/>
  <c r="R1059" i="1" s="1"/>
  <c r="F120" i="25"/>
  <c r="D147" i="25"/>
  <c r="AB1411" i="1"/>
  <c r="X1413" i="1"/>
  <c r="R1477" i="1"/>
  <c r="V1438" i="1"/>
  <c r="P1484" i="1"/>
  <c r="R1500" i="1"/>
  <c r="V1461" i="1"/>
  <c r="K2264" i="1"/>
  <c r="C419" i="55" s="1"/>
  <c r="P2669" i="1"/>
  <c r="K2662" i="1"/>
  <c r="I3100" i="1"/>
  <c r="K2813" i="1"/>
  <c r="AE2786" i="1"/>
  <c r="AG2786" i="1" s="1"/>
  <c r="I2863" i="1"/>
  <c r="K2863" i="1" s="1"/>
  <c r="P2820" i="1"/>
  <c r="I2634" i="1"/>
  <c r="I3147" i="1"/>
  <c r="C89" i="1"/>
  <c r="P3189" i="1"/>
  <c r="I2814" i="1"/>
  <c r="I3319" i="1"/>
  <c r="I2663" i="1"/>
  <c r="I1015" i="1"/>
  <c r="K1015" i="1" s="1"/>
  <c r="I3387" i="1"/>
  <c r="I3477" i="1" s="1"/>
  <c r="K3477" i="1" s="1"/>
  <c r="I985" i="1"/>
  <c r="K985" i="1" s="1"/>
  <c r="I1053" i="1"/>
  <c r="P210" i="1"/>
  <c r="R210" i="1" s="1"/>
  <c r="I921" i="1"/>
  <c r="K921" i="1" s="1"/>
  <c r="K923" i="1" s="1"/>
  <c r="C290" i="55" s="1"/>
  <c r="I950" i="1"/>
  <c r="I1127" i="1"/>
  <c r="K1127" i="1" s="1"/>
  <c r="I2815" i="1"/>
  <c r="C90" i="1"/>
  <c r="P3259" i="1"/>
  <c r="R3259" i="1" s="1"/>
  <c r="I3282" i="1"/>
  <c r="K3146" i="1"/>
  <c r="P3153" i="1"/>
  <c r="R3153" i="1" s="1"/>
  <c r="M2256" i="1"/>
  <c r="L2221" i="1"/>
  <c r="K2255" i="1"/>
  <c r="K2288" i="1" s="1"/>
  <c r="C447" i="55" s="1"/>
  <c r="R3188" i="1"/>
  <c r="P3257" i="1"/>
  <c r="R3257" i="1" s="1"/>
  <c r="P3221" i="1"/>
  <c r="P3291" i="1"/>
  <c r="V2601" i="1"/>
  <c r="K2633" i="1"/>
  <c r="P2640" i="1"/>
  <c r="I3420" i="1"/>
  <c r="K3420" i="1" s="1"/>
  <c r="AQ137" i="1"/>
  <c r="AS112" i="1"/>
  <c r="AU112" i="1" s="1"/>
  <c r="AV112" i="1" s="1"/>
  <c r="K3211" i="1"/>
  <c r="I3226" i="1"/>
  <c r="R1266" i="1"/>
  <c r="P1382" i="1"/>
  <c r="R1382" i="1" s="1"/>
  <c r="P1243" i="1"/>
  <c r="R1243" i="1" s="1"/>
  <c r="V1246" i="1"/>
  <c r="X1301" i="1"/>
  <c r="V1321" i="1"/>
  <c r="X1321" i="1" s="1"/>
  <c r="AD1247" i="1"/>
  <c r="AB1219" i="1"/>
  <c r="AD1219" i="1" s="1"/>
  <c r="K3242" i="1"/>
  <c r="I3267" i="1"/>
  <c r="K3267" i="1" s="1"/>
  <c r="P1242" i="1"/>
  <c r="R1242" i="1" s="1"/>
  <c r="V1245" i="1"/>
  <c r="R1265" i="1"/>
  <c r="P1381" i="1"/>
  <c r="R1381" i="1" s="1"/>
  <c r="X1240" i="1"/>
  <c r="AB1245" i="1"/>
  <c r="AB1252" i="1"/>
  <c r="X1247" i="1"/>
  <c r="AB1246" i="1"/>
  <c r="X1241" i="1"/>
  <c r="F122" i="25"/>
  <c r="D149" i="25"/>
  <c r="X3586" i="1"/>
  <c r="V3603" i="1"/>
  <c r="X3689" i="1"/>
  <c r="X3695" i="1" s="1"/>
  <c r="X3696" i="1" s="1"/>
  <c r="C922" i="55" s="1"/>
  <c r="V706" i="1"/>
  <c r="D42" i="32" s="1"/>
  <c r="C337" i="55"/>
  <c r="D61" i="71" s="1"/>
  <c r="F61" i="71" s="1"/>
  <c r="I255" i="1"/>
  <c r="K255" i="1" s="1"/>
  <c r="K259" i="1" s="1"/>
  <c r="K261" i="1" s="1"/>
  <c r="C51" i="55" s="1"/>
  <c r="C79" i="1"/>
  <c r="I36" i="1"/>
  <c r="C78" i="1"/>
  <c r="I3504" i="1"/>
  <c r="R1142" i="1"/>
  <c r="P1173" i="1"/>
  <c r="R1173" i="1" s="1"/>
  <c r="X771" i="1"/>
  <c r="X801" i="1"/>
  <c r="V816" i="1"/>
  <c r="X816" i="1" s="1"/>
  <c r="K1310" i="1"/>
  <c r="K1312" i="1" s="1"/>
  <c r="C336" i="55" s="1"/>
  <c r="D170" i="25"/>
  <c r="F170" i="25" s="1"/>
  <c r="F148" i="25"/>
  <c r="V3621" i="1"/>
  <c r="AG3558" i="1"/>
  <c r="P1892" i="1"/>
  <c r="R1861" i="1"/>
  <c r="R1868" i="1" s="1"/>
  <c r="R1870" i="1" s="1"/>
  <c r="P1879" i="1" s="1"/>
  <c r="R1879" i="1" s="1"/>
  <c r="R1881" i="1" s="1"/>
  <c r="X3558" i="1"/>
  <c r="V3574" i="1"/>
  <c r="P1259" i="1"/>
  <c r="R1217" i="1"/>
  <c r="T1217" i="1" s="1"/>
  <c r="P1461" i="1"/>
  <c r="R1444" i="1"/>
  <c r="R1454" i="1" s="1"/>
  <c r="R1455" i="1" s="1"/>
  <c r="C771" i="55" s="1"/>
  <c r="R2094" i="1"/>
  <c r="P2100" i="1"/>
  <c r="V878" i="1"/>
  <c r="K878" i="1"/>
  <c r="I894" i="1"/>
  <c r="K894" i="1" s="1"/>
  <c r="I860" i="1"/>
  <c r="F541" i="64"/>
  <c r="D604" i="64"/>
  <c r="F604" i="64" s="1"/>
  <c r="F608" i="64" s="1"/>
  <c r="AE337" i="1"/>
  <c r="AG337" i="1" s="1"/>
  <c r="X337" i="1"/>
  <c r="K2196" i="27"/>
  <c r="L3154" i="27"/>
  <c r="C654" i="55"/>
  <c r="X591" i="1"/>
  <c r="K2398" i="1"/>
  <c r="K2403" i="1" s="1"/>
  <c r="C385" i="55" s="1"/>
  <c r="I2410" i="1"/>
  <c r="C598" i="55"/>
  <c r="I1897" i="1"/>
  <c r="K1897" i="1" s="1"/>
  <c r="K1899" i="1" s="1"/>
  <c r="K1888" i="1"/>
  <c r="K1890" i="1" s="1"/>
  <c r="C278" i="55"/>
  <c r="I709" i="1"/>
  <c r="K709" i="1" s="1"/>
  <c r="X883" i="1"/>
  <c r="V899" i="1"/>
  <c r="X899" i="1" s="1"/>
  <c r="K2451" i="27"/>
  <c r="K2448" i="27"/>
  <c r="I1091" i="11"/>
  <c r="K129" i="11"/>
  <c r="K133" i="11" s="1"/>
  <c r="P3066" i="1"/>
  <c r="R3066" i="1" s="1"/>
  <c r="R3071" i="1" s="1"/>
  <c r="R3073" i="1" s="1"/>
  <c r="C1454" i="55" s="1"/>
  <c r="K3059" i="1"/>
  <c r="K3064" i="1" s="1"/>
  <c r="K3066" i="1" s="1"/>
  <c r="C1453" i="55" s="1"/>
  <c r="I3078" i="1"/>
  <c r="K3078" i="1" s="1"/>
  <c r="K3083" i="1" s="1"/>
  <c r="K3085" i="1" s="1"/>
  <c r="C1452" i="55" s="1"/>
  <c r="P3569" i="1"/>
  <c r="R3569" i="1" s="1"/>
  <c r="R3572" i="1" s="1"/>
  <c r="C677" i="55" s="1"/>
  <c r="K3566" i="1"/>
  <c r="K3569" i="1" s="1"/>
  <c r="V412" i="1"/>
  <c r="X412" i="1" s="1"/>
  <c r="AE390" i="1"/>
  <c r="X381" i="1"/>
  <c r="AB1387" i="1"/>
  <c r="AD1387" i="1" s="1"/>
  <c r="AD1370" i="1"/>
  <c r="K3446" i="27"/>
  <c r="K3448" i="27" s="1"/>
  <c r="K3449" i="27" s="1"/>
  <c r="K3439" i="27" s="1"/>
  <c r="I3486" i="27"/>
  <c r="K3486" i="27" s="1"/>
  <c r="K3488" i="27" s="1"/>
  <c r="K3489" i="27" s="1"/>
  <c r="K3479" i="27" s="1"/>
  <c r="AB1404" i="1"/>
  <c r="X1406" i="1"/>
  <c r="AB1190" i="1"/>
  <c r="R1334" i="1"/>
  <c r="V1300" i="1"/>
  <c r="AB553" i="1"/>
  <c r="AD529" i="1"/>
  <c r="AI529" i="1"/>
  <c r="C660" i="55"/>
  <c r="I613" i="1"/>
  <c r="C258" i="55"/>
  <c r="K613" i="1"/>
  <c r="C273" i="55"/>
  <c r="I690" i="1"/>
  <c r="K690" i="1" s="1"/>
  <c r="C274" i="55" s="1"/>
  <c r="K1987" i="1"/>
  <c r="P1987" i="1"/>
  <c r="K2199" i="27"/>
  <c r="K3229" i="27"/>
  <c r="K3233" i="27" s="1"/>
  <c r="K2198" i="27" s="1"/>
  <c r="L3221" i="27"/>
  <c r="K114" i="11"/>
  <c r="L114" i="11"/>
  <c r="X395" i="1"/>
  <c r="V427" i="1"/>
  <c r="X427" i="1" s="1"/>
  <c r="K3926" i="1"/>
  <c r="I3944" i="1"/>
  <c r="AB1425" i="1"/>
  <c r="AD1425" i="1" s="1"/>
  <c r="AD1408" i="1"/>
  <c r="X1389" i="1"/>
  <c r="X1399" i="1" s="1"/>
  <c r="C309" i="55" s="1"/>
  <c r="V1405" i="1"/>
  <c r="K2929" i="1"/>
  <c r="I2948" i="1"/>
  <c r="P1493" i="1"/>
  <c r="P1476" i="1"/>
  <c r="R1462" i="1"/>
  <c r="K571" i="11"/>
  <c r="I566" i="11" s="1"/>
  <c r="I590" i="11"/>
  <c r="AE366" i="1"/>
  <c r="AG366" i="1" s="1"/>
  <c r="X357" i="1"/>
  <c r="K2154" i="1"/>
  <c r="K585" i="27"/>
  <c r="I585" i="27"/>
  <c r="C20" i="55"/>
  <c r="K121" i="1"/>
  <c r="C21" i="55" s="1"/>
  <c r="I2380" i="27"/>
  <c r="I2382" i="27" s="1"/>
  <c r="I2383" i="27" s="1"/>
  <c r="I2355" i="27" s="1"/>
  <c r="K2355" i="27" s="1"/>
  <c r="I2377" i="27"/>
  <c r="AE313" i="1"/>
  <c r="X313" i="1"/>
  <c r="AQ65" i="1"/>
  <c r="I2956" i="1"/>
  <c r="K2956" i="1" s="1"/>
  <c r="K2947" i="1"/>
  <c r="I243" i="11"/>
  <c r="K227" i="11"/>
  <c r="K231" i="11" s="1"/>
  <c r="I3939" i="1"/>
  <c r="K3921" i="1"/>
  <c r="F421" i="64"/>
  <c r="F422" i="64" s="1"/>
  <c r="F425" i="64" s="1"/>
  <c r="V3162" i="1"/>
  <c r="X3137" i="1"/>
  <c r="C252" i="55"/>
  <c r="I591" i="1"/>
  <c r="K591" i="1" s="1"/>
  <c r="C648" i="55"/>
  <c r="L2988" i="27"/>
  <c r="C888" i="55"/>
  <c r="K2191" i="27"/>
  <c r="C1448" i="55"/>
  <c r="K3761" i="27"/>
  <c r="K3762" i="27" s="1"/>
  <c r="K3744" i="27"/>
  <c r="K3908" i="27"/>
  <c r="I3911" i="27"/>
  <c r="K2890" i="27"/>
  <c r="K2898" i="27" s="1"/>
  <c r="K2883" i="27"/>
  <c r="M3398" i="27"/>
  <c r="C881" i="55"/>
  <c r="K3872" i="27" l="1"/>
  <c r="K3878" i="27" s="1"/>
  <c r="K3836" i="27"/>
  <c r="K3815" i="27"/>
  <c r="L3815" i="27" s="1"/>
  <c r="X1443" i="1"/>
  <c r="V1467" i="1"/>
  <c r="X1467" i="1" s="1"/>
  <c r="V1455" i="1"/>
  <c r="R1494" i="1"/>
  <c r="P1537" i="1"/>
  <c r="R1537" i="1" s="1"/>
  <c r="Z15" i="1"/>
  <c r="K657" i="11"/>
  <c r="K658" i="11" s="1"/>
  <c r="K648" i="11" s="1"/>
  <c r="AB1402" i="1"/>
  <c r="X1404" i="1"/>
  <c r="V3590" i="1"/>
  <c r="X3575" i="1"/>
  <c r="I3528" i="1"/>
  <c r="R3448" i="1"/>
  <c r="AD1405" i="1"/>
  <c r="AB1422" i="1"/>
  <c r="AD1422" i="1" s="1"/>
  <c r="C723" i="55"/>
  <c r="R1460" i="1"/>
  <c r="V1421" i="1"/>
  <c r="X1421" i="1" s="1"/>
  <c r="P1491" i="1"/>
  <c r="AD1380" i="1"/>
  <c r="C314" i="55" s="1"/>
  <c r="F545" i="64"/>
  <c r="F546" i="64" s="1"/>
  <c r="F549" i="64" s="1"/>
  <c r="I2897" i="1"/>
  <c r="K2897" i="1" s="1"/>
  <c r="F660" i="25"/>
  <c r="D696" i="25"/>
  <c r="F696" i="25" s="1"/>
  <c r="C1497" i="55"/>
  <c r="K105" i="1"/>
  <c r="C27" i="55" s="1"/>
  <c r="C26" i="55"/>
  <c r="I3980" i="1"/>
  <c r="K3980" i="1" s="1"/>
  <c r="K3963" i="1"/>
  <c r="K1091" i="11"/>
  <c r="K1095" i="11" s="1"/>
  <c r="K1096" i="11" s="1"/>
  <c r="AD553" i="1"/>
  <c r="K3297" i="27"/>
  <c r="K3299" i="27" s="1"/>
  <c r="K3291" i="27" s="1"/>
  <c r="K3293" i="27" s="1"/>
  <c r="K3294" i="27" s="1"/>
  <c r="K2204" i="27" s="1"/>
  <c r="I3322" i="27"/>
  <c r="K3322" i="27" s="1"/>
  <c r="K3324" i="27" s="1"/>
  <c r="K3318" i="27" s="1"/>
  <c r="K3319" i="27" s="1"/>
  <c r="I3937" i="27"/>
  <c r="K3937" i="27" s="1"/>
  <c r="K3075" i="27"/>
  <c r="I3089" i="27"/>
  <c r="K3089" i="27" s="1"/>
  <c r="H3873" i="1"/>
  <c r="J3852" i="1"/>
  <c r="K3914" i="27"/>
  <c r="I2692" i="27"/>
  <c r="K2692" i="27" s="1"/>
  <c r="K2696" i="27" s="1"/>
  <c r="C74" i="27"/>
  <c r="I194" i="27" s="1"/>
  <c r="K194" i="27" s="1"/>
  <c r="K201" i="27" s="1"/>
  <c r="K203" i="27" s="1"/>
  <c r="I1712" i="27" s="1"/>
  <c r="K1712" i="27" s="1"/>
  <c r="K1721" i="27" s="1"/>
  <c r="I166" i="27"/>
  <c r="K166" i="27" s="1"/>
  <c r="K170" i="27" s="1"/>
  <c r="I2681" i="27"/>
  <c r="K2681" i="27" s="1"/>
  <c r="K2685" i="27" s="1"/>
  <c r="K2687" i="27" s="1"/>
  <c r="I2615" i="27"/>
  <c r="K2615" i="27" s="1"/>
  <c r="K2620" i="27" s="1"/>
  <c r="K3226" i="1"/>
  <c r="K3365" i="27"/>
  <c r="K3366" i="27" s="1"/>
  <c r="K3332" i="27"/>
  <c r="K3333" i="27" s="1"/>
  <c r="L3333" i="27" s="1"/>
  <c r="K3931" i="27"/>
  <c r="I3950" i="27"/>
  <c r="K3950" i="27" s="1"/>
  <c r="I2682" i="27"/>
  <c r="K2682" i="27" s="1"/>
  <c r="C73" i="27"/>
  <c r="I174" i="27"/>
  <c r="K174" i="27" s="1"/>
  <c r="K178" i="27" s="1"/>
  <c r="L3277" i="27"/>
  <c r="K2200" i="27"/>
  <c r="AB1424" i="1"/>
  <c r="AD1424" i="1" s="1"/>
  <c r="AD1407" i="1"/>
  <c r="K3443" i="27"/>
  <c r="I3437" i="27" s="1"/>
  <c r="K3437" i="27" s="1"/>
  <c r="K3441" i="27" s="1"/>
  <c r="K2210" i="27" s="1"/>
  <c r="I3483" i="27"/>
  <c r="K4027" i="1"/>
  <c r="K4029" i="1" s="1"/>
  <c r="K4030" i="1" s="1"/>
  <c r="I4039" i="1"/>
  <c r="K4039" i="1" s="1"/>
  <c r="K4041" i="1" s="1"/>
  <c r="K4042" i="1" s="1"/>
  <c r="X3562" i="1"/>
  <c r="V3578" i="1"/>
  <c r="K3911" i="27"/>
  <c r="K3879" i="27"/>
  <c r="K3895" i="27"/>
  <c r="K3898" i="27" s="1"/>
  <c r="K3899" i="27" s="1"/>
  <c r="AG3562" i="1"/>
  <c r="V3625" i="1"/>
  <c r="R1987" i="1"/>
  <c r="F44" i="50"/>
  <c r="D107" i="50"/>
  <c r="F107" i="50" s="1"/>
  <c r="P2864" i="1"/>
  <c r="R2831" i="1"/>
  <c r="V2792" i="1"/>
  <c r="P2650" i="1"/>
  <c r="R2650" i="1" s="1"/>
  <c r="X1460" i="1"/>
  <c r="AB1458" i="1"/>
  <c r="AD1458" i="1" s="1"/>
  <c r="X1243" i="1"/>
  <c r="AB1248" i="1"/>
  <c r="AG388" i="1"/>
  <c r="AE424" i="1"/>
  <c r="AG424" i="1" s="1"/>
  <c r="AQ195" i="1"/>
  <c r="AS195" i="1" s="1"/>
  <c r="AS163" i="1"/>
  <c r="AU163" i="1" s="1"/>
  <c r="AV163" i="1" s="1"/>
  <c r="AB1457" i="1"/>
  <c r="AD1457" i="1" s="1"/>
  <c r="X1459" i="1"/>
  <c r="X379" i="1"/>
  <c r="V410" i="1"/>
  <c r="X410" i="1" s="1"/>
  <c r="I2643" i="1"/>
  <c r="K2824" i="1"/>
  <c r="I1189" i="11"/>
  <c r="K1189" i="11" s="1"/>
  <c r="K1174" i="11"/>
  <c r="F658" i="25"/>
  <c r="D694" i="25"/>
  <c r="F694" i="25" s="1"/>
  <c r="R1495" i="1"/>
  <c r="V1456" i="1"/>
  <c r="I2960" i="27"/>
  <c r="K2940" i="27"/>
  <c r="K2944" i="27" s="1"/>
  <c r="I3058" i="27"/>
  <c r="R1496" i="1"/>
  <c r="V1457" i="1"/>
  <c r="AC1205" i="1"/>
  <c r="AJ1204" i="1"/>
  <c r="W564" i="1"/>
  <c r="AC564" i="1" s="1"/>
  <c r="AJ564" i="1" s="1"/>
  <c r="J563" i="1"/>
  <c r="M3024" i="27"/>
  <c r="K3023" i="27"/>
  <c r="N3023" i="27"/>
  <c r="J541" i="1"/>
  <c r="W540" i="1"/>
  <c r="AC540" i="1" s="1"/>
  <c r="AJ540" i="1" s="1"/>
  <c r="L3045" i="27"/>
  <c r="K3044" i="27"/>
  <c r="W489" i="1"/>
  <c r="AC489" i="1" s="1"/>
  <c r="J665" i="1"/>
  <c r="AS111" i="1"/>
  <c r="AU111" i="1" s="1"/>
  <c r="AV111" i="1" s="1"/>
  <c r="AQ136" i="1"/>
  <c r="S2897" i="27"/>
  <c r="R2896" i="27"/>
  <c r="K3099" i="27"/>
  <c r="P3072" i="27"/>
  <c r="R3072" i="27" s="1"/>
  <c r="V3605" i="1"/>
  <c r="X3605" i="1" s="1"/>
  <c r="X3588" i="1"/>
  <c r="AD1397" i="1"/>
  <c r="C317" i="55" s="1"/>
  <c r="F125" i="25"/>
  <c r="D115" i="25" s="1"/>
  <c r="F115" i="25" s="1"/>
  <c r="K617" i="11"/>
  <c r="K618" i="11" s="1"/>
  <c r="K608" i="11" s="1"/>
  <c r="L2926" i="27"/>
  <c r="K2921" i="27"/>
  <c r="R2863" i="27"/>
  <c r="T2864" i="27"/>
  <c r="D87" i="25"/>
  <c r="F86" i="25"/>
  <c r="F621" i="25"/>
  <c r="D657" i="25"/>
  <c r="C687" i="55"/>
  <c r="K2261" i="1"/>
  <c r="C416" i="55" s="1"/>
  <c r="D30" i="71" s="1"/>
  <c r="F30" i="71" s="1"/>
  <c r="X3621" i="1"/>
  <c r="AB3621" i="1"/>
  <c r="AD3621" i="1" s="1"/>
  <c r="D590" i="25"/>
  <c r="F553" i="25"/>
  <c r="J3853" i="1"/>
  <c r="J3857" i="1" s="1"/>
  <c r="J3859" i="1" s="1"/>
  <c r="H3874" i="1"/>
  <c r="W805" i="11"/>
  <c r="R805" i="11"/>
  <c r="R807" i="11" s="1"/>
  <c r="K52" i="11"/>
  <c r="K59" i="11"/>
  <c r="K67" i="11" s="1"/>
  <c r="X706" i="1"/>
  <c r="Z706" i="1" s="1"/>
  <c r="V676" i="1"/>
  <c r="X676" i="1" s="1"/>
  <c r="F147" i="25"/>
  <c r="D169" i="25"/>
  <c r="F169" i="25" s="1"/>
  <c r="V1445" i="1"/>
  <c r="R1484" i="1"/>
  <c r="AD1411" i="1"/>
  <c r="AB1428" i="1"/>
  <c r="AD1428" i="1" s="1"/>
  <c r="X1461" i="1"/>
  <c r="AB1459" i="1"/>
  <c r="AD1459" i="1" s="1"/>
  <c r="AB1436" i="1"/>
  <c r="AD1436" i="1" s="1"/>
  <c r="X1438" i="1"/>
  <c r="V3247" i="1"/>
  <c r="X3247" i="1" s="1"/>
  <c r="P3360" i="1"/>
  <c r="R3360" i="1" s="1"/>
  <c r="R3291" i="1"/>
  <c r="P3394" i="1"/>
  <c r="R3394" i="1" s="1"/>
  <c r="AE2787" i="1"/>
  <c r="AG2787" i="1" s="1"/>
  <c r="P2821" i="1"/>
  <c r="I2864" i="1"/>
  <c r="K2864" i="1" s="1"/>
  <c r="K2875" i="1" s="1"/>
  <c r="K2877" i="1" s="1"/>
  <c r="K2814" i="1"/>
  <c r="I3600" i="1"/>
  <c r="P2641" i="1"/>
  <c r="K2634" i="1"/>
  <c r="V2602" i="1"/>
  <c r="I3421" i="1"/>
  <c r="P2074" i="1"/>
  <c r="R2074" i="1" s="1"/>
  <c r="K3100" i="1"/>
  <c r="X2601" i="1"/>
  <c r="AE2615" i="1"/>
  <c r="AG2615" i="1" s="1"/>
  <c r="Z2599" i="1"/>
  <c r="AE2649" i="1"/>
  <c r="AG2649" i="1" s="1"/>
  <c r="K3282" i="1"/>
  <c r="V3250" i="1"/>
  <c r="X3250" i="1" s="1"/>
  <c r="K950" i="1"/>
  <c r="K3319" i="1"/>
  <c r="K3329" i="1" s="1"/>
  <c r="K3331" i="1" s="1"/>
  <c r="K3147" i="1"/>
  <c r="K3157" i="1" s="1"/>
  <c r="K3159" i="1" s="1"/>
  <c r="P3154" i="1"/>
  <c r="C691" i="55"/>
  <c r="K2265" i="1"/>
  <c r="C420" i="55" s="1"/>
  <c r="P2822" i="1"/>
  <c r="K2815" i="1"/>
  <c r="I3479" i="1"/>
  <c r="K3479" i="1" s="1"/>
  <c r="P1064" i="1"/>
  <c r="K1053" i="1"/>
  <c r="P1089" i="1"/>
  <c r="AE1062" i="1"/>
  <c r="AG1062" i="1" s="1"/>
  <c r="P987" i="1"/>
  <c r="R987" i="1" s="1"/>
  <c r="K2663" i="1"/>
  <c r="K2674" i="1" s="1"/>
  <c r="K2676" i="1" s="1"/>
  <c r="P2670" i="1"/>
  <c r="I3101" i="1"/>
  <c r="I3388" i="1"/>
  <c r="I3478" i="1" s="1"/>
  <c r="K3478" i="1" s="1"/>
  <c r="I986" i="1"/>
  <c r="K986" i="1" s="1"/>
  <c r="I1071" i="1"/>
  <c r="K1071" i="1" s="1"/>
  <c r="K1079" i="1" s="1"/>
  <c r="K1081" i="1" s="1"/>
  <c r="I1054" i="1"/>
  <c r="I1016" i="1"/>
  <c r="K1016" i="1" s="1"/>
  <c r="I1102" i="1"/>
  <c r="I1086" i="1"/>
  <c r="K1086" i="1" s="1"/>
  <c r="K1095" i="1" s="1"/>
  <c r="K1097" i="1" s="1"/>
  <c r="P211" i="1"/>
  <c r="R211" i="1" s="1"/>
  <c r="R221" i="1" s="1"/>
  <c r="R224" i="1" s="1"/>
  <c r="I1128" i="1"/>
  <c r="K1128" i="1" s="1"/>
  <c r="K1139" i="1" s="1"/>
  <c r="K1141" i="1" s="1"/>
  <c r="I928" i="1"/>
  <c r="K928" i="1" s="1"/>
  <c r="K930" i="1" s="1"/>
  <c r="C291" i="55" s="1"/>
  <c r="I951" i="1"/>
  <c r="R2820" i="1"/>
  <c r="P2853" i="1"/>
  <c r="R2853" i="1" s="1"/>
  <c r="R2640" i="1"/>
  <c r="R3221" i="1"/>
  <c r="P3435" i="1"/>
  <c r="R3435" i="1" s="1"/>
  <c r="P3323" i="1"/>
  <c r="R3323" i="1" s="1"/>
  <c r="I1017" i="1"/>
  <c r="I952" i="1"/>
  <c r="K952" i="1" s="1"/>
  <c r="I987" i="1"/>
  <c r="K987" i="1" s="1"/>
  <c r="P3292" i="1"/>
  <c r="P3222" i="1"/>
  <c r="P3258" i="1"/>
  <c r="R3258" i="1" s="1"/>
  <c r="R3270" i="1" s="1"/>
  <c r="R3272" i="1" s="1"/>
  <c r="C1437" i="55" s="1"/>
  <c r="R3189" i="1"/>
  <c r="R3201" i="1" s="1"/>
  <c r="R3203" i="1" s="1"/>
  <c r="C629" i="55" s="1"/>
  <c r="AB1218" i="1"/>
  <c r="AD1218" i="1" s="1"/>
  <c r="AD1246" i="1"/>
  <c r="V3618" i="1"/>
  <c r="X3603" i="1"/>
  <c r="AD1245" i="1"/>
  <c r="AB1217" i="1"/>
  <c r="AD1217" i="1" s="1"/>
  <c r="L3208" i="1"/>
  <c r="L3211" i="1" s="1"/>
  <c r="K3245" i="1"/>
  <c r="K3247" i="1" s="1"/>
  <c r="C1510" i="55" s="1"/>
  <c r="K3214" i="1"/>
  <c r="K3216" i="1" s="1"/>
  <c r="C1511" i="55" s="1"/>
  <c r="F45" i="71" s="1"/>
  <c r="L3177" i="1"/>
  <c r="L3180" i="1" s="1"/>
  <c r="L3182" i="1" s="1"/>
  <c r="AB1224" i="1"/>
  <c r="AD1224" i="1" s="1"/>
  <c r="AD1252" i="1"/>
  <c r="X1245" i="1"/>
  <c r="AB1250" i="1"/>
  <c r="K3273" i="1"/>
  <c r="K3275" i="1" s="1"/>
  <c r="C1513" i="55" s="1"/>
  <c r="L3233" i="1"/>
  <c r="L3239" i="1" s="1"/>
  <c r="L3241" i="1" s="1"/>
  <c r="L3192" i="1"/>
  <c r="L3195" i="1" s="1"/>
  <c r="L3197" i="1" s="1"/>
  <c r="K3229" i="1"/>
  <c r="K3231" i="1" s="1"/>
  <c r="C1512" i="55" s="1"/>
  <c r="F149" i="25"/>
  <c r="F152" i="25" s="1"/>
  <c r="D141" i="25" s="1"/>
  <c r="D171" i="25"/>
  <c r="F171" i="25" s="1"/>
  <c r="AB1251" i="1"/>
  <c r="X1246" i="1"/>
  <c r="AS137" i="1"/>
  <c r="AU137" i="1" s="1"/>
  <c r="AV137" i="1" s="1"/>
  <c r="AQ168" i="1"/>
  <c r="AS168" i="1" s="1"/>
  <c r="AU168" i="1" s="1"/>
  <c r="AV168" i="1" s="1"/>
  <c r="R2100" i="1"/>
  <c r="P2107" i="1"/>
  <c r="K3504" i="1"/>
  <c r="P22" i="1"/>
  <c r="I152" i="1"/>
  <c r="K152" i="1" s="1"/>
  <c r="K161" i="1" s="1"/>
  <c r="C39" i="55" s="1"/>
  <c r="P627" i="1"/>
  <c r="R627" i="1" s="1"/>
  <c r="I140" i="1"/>
  <c r="K36" i="1"/>
  <c r="K40" i="1" s="1"/>
  <c r="I45" i="1"/>
  <c r="I19" i="1"/>
  <c r="I2148" i="1"/>
  <c r="I272" i="1"/>
  <c r="K272" i="1" s="1"/>
  <c r="I54" i="1"/>
  <c r="I1753" i="1"/>
  <c r="K1753" i="1" s="1"/>
  <c r="K1760" i="1" s="1"/>
  <c r="K1762" i="1" s="1"/>
  <c r="C370" i="55" s="1"/>
  <c r="I505" i="1"/>
  <c r="I73" i="1"/>
  <c r="I2128" i="1"/>
  <c r="K2128" i="1" s="1"/>
  <c r="K2136" i="1" s="1"/>
  <c r="K2138" i="1" s="1"/>
  <c r="C403" i="55" s="1"/>
  <c r="I809" i="1"/>
  <c r="P10" i="1"/>
  <c r="R10" i="1" s="1"/>
  <c r="R14" i="1" s="1"/>
  <c r="I10" i="1"/>
  <c r="P1143" i="1"/>
  <c r="I28" i="1"/>
  <c r="I64" i="1"/>
  <c r="F42" i="32"/>
  <c r="H42" i="32" s="1"/>
  <c r="D105" i="32"/>
  <c r="F105" i="32" s="1"/>
  <c r="V800" i="1"/>
  <c r="C73" i="1"/>
  <c r="V705" i="1"/>
  <c r="I175" i="1"/>
  <c r="K175" i="1" s="1"/>
  <c r="K179" i="1" s="1"/>
  <c r="C44" i="55" s="1"/>
  <c r="AC15" i="1"/>
  <c r="I3502" i="1"/>
  <c r="I3500" i="1"/>
  <c r="X3162" i="1"/>
  <c r="D551" i="25"/>
  <c r="I3955" i="1"/>
  <c r="K3939" i="1"/>
  <c r="P1536" i="1"/>
  <c r="R1536" i="1" s="1"/>
  <c r="V1454" i="1"/>
  <c r="R1493" i="1"/>
  <c r="AB1403" i="1"/>
  <c r="X1405" i="1"/>
  <c r="V1320" i="1"/>
  <c r="X1320" i="1" s="1"/>
  <c r="X1300" i="1"/>
  <c r="AD1404" i="1"/>
  <c r="AB1421" i="1"/>
  <c r="AD1421" i="1" s="1"/>
  <c r="I2468" i="27"/>
  <c r="K2468" i="27" s="1"/>
  <c r="I2311" i="27"/>
  <c r="K2311" i="27" s="1"/>
  <c r="I710" i="1"/>
  <c r="K710" i="1" s="1"/>
  <c r="C280" i="55" s="1"/>
  <c r="C279" i="55"/>
  <c r="C375" i="55"/>
  <c r="F58" i="71" s="1"/>
  <c r="C893" i="55"/>
  <c r="K2410" i="1"/>
  <c r="K2415" i="1" s="1"/>
  <c r="C386" i="55" s="1"/>
  <c r="I2443" i="1"/>
  <c r="K2443" i="1" s="1"/>
  <c r="X3574" i="1"/>
  <c r="V3589" i="1"/>
  <c r="R1892" i="1"/>
  <c r="R1899" i="1" s="1"/>
  <c r="R1901" i="1" s="1"/>
  <c r="P1910" i="1" s="1"/>
  <c r="R1910" i="1" s="1"/>
  <c r="R1912" i="1" s="1"/>
  <c r="C715" i="55" s="1"/>
  <c r="AS65" i="1"/>
  <c r="AQ89" i="1"/>
  <c r="K566" i="11"/>
  <c r="I3396" i="27"/>
  <c r="R1476" i="1"/>
  <c r="R1478" i="1" s="1"/>
  <c r="R1479" i="1" s="1"/>
  <c r="V1437" i="1"/>
  <c r="P1483" i="1"/>
  <c r="K3944" i="1"/>
  <c r="I3960" i="1"/>
  <c r="K134" i="11"/>
  <c r="L134" i="11"/>
  <c r="V860" i="1"/>
  <c r="X860" i="1" s="1"/>
  <c r="P853" i="1"/>
  <c r="R853" i="1" s="1"/>
  <c r="K860" i="1"/>
  <c r="I3300" i="1"/>
  <c r="K3300" i="1" s="1"/>
  <c r="R1259" i="1"/>
  <c r="P1236" i="1"/>
  <c r="R1236" i="1" s="1"/>
  <c r="V1239" i="1"/>
  <c r="I1114" i="11"/>
  <c r="K1114" i="11" s="1"/>
  <c r="K1117" i="11" s="1"/>
  <c r="K1119" i="11" s="1"/>
  <c r="K243" i="11"/>
  <c r="K246" i="11" s="1"/>
  <c r="I269" i="11"/>
  <c r="K590" i="11"/>
  <c r="I585" i="11" s="1"/>
  <c r="I612" i="11"/>
  <c r="K3595" i="1"/>
  <c r="C661" i="55"/>
  <c r="K614" i="1"/>
  <c r="I614" i="1"/>
  <c r="C259" i="55"/>
  <c r="AD1190" i="1"/>
  <c r="AI1190" i="1"/>
  <c r="AK1190" i="1" s="1"/>
  <c r="AG390" i="1"/>
  <c r="AE426" i="1"/>
  <c r="AQ390" i="1"/>
  <c r="AS390" i="1" s="1"/>
  <c r="AE404" i="1"/>
  <c r="AG404" i="1" s="1"/>
  <c r="X592" i="1"/>
  <c r="C656" i="55"/>
  <c r="C655" i="55"/>
  <c r="X878" i="1"/>
  <c r="V894" i="1"/>
  <c r="X894" i="1" s="1"/>
  <c r="I592" i="1"/>
  <c r="K592" i="1" s="1"/>
  <c r="C649" i="55"/>
  <c r="C253" i="55"/>
  <c r="K232" i="11"/>
  <c r="C1463" i="55" s="1"/>
  <c r="L232" i="11"/>
  <c r="AG313" i="1"/>
  <c r="I2396" i="27"/>
  <c r="I2395" i="27"/>
  <c r="I2378" i="27"/>
  <c r="K2378" i="27" s="1"/>
  <c r="I2354" i="27" s="1"/>
  <c r="K2354" i="27" s="1"/>
  <c r="K2356" i="27" s="1"/>
  <c r="K2357" i="27" s="1"/>
  <c r="I586" i="27"/>
  <c r="K586" i="27"/>
  <c r="I2957" i="1"/>
  <c r="K2957" i="1" s="1"/>
  <c r="K2948" i="1"/>
  <c r="AI553" i="1"/>
  <c r="AK529" i="1"/>
  <c r="K2453" i="27"/>
  <c r="K2455" i="27"/>
  <c r="F609" i="64"/>
  <c r="F612" i="64" s="1"/>
  <c r="V1422" i="1"/>
  <c r="X1422" i="1" s="1"/>
  <c r="X1432" i="1" s="1"/>
  <c r="R1461" i="1"/>
  <c r="P1492" i="1"/>
  <c r="N3398" i="27"/>
  <c r="L2900" i="27"/>
  <c r="K2899" i="27"/>
  <c r="L2885" i="27"/>
  <c r="K2884" i="27"/>
  <c r="M3744" i="27"/>
  <c r="K2203" i="27"/>
  <c r="K3848" i="27" l="1"/>
  <c r="K3856" i="27" s="1"/>
  <c r="K3840" i="27"/>
  <c r="K3841" i="27" s="1"/>
  <c r="V3607" i="1"/>
  <c r="X3607" i="1" s="1"/>
  <c r="X3590" i="1"/>
  <c r="R1471" i="1"/>
  <c r="R1491" i="1"/>
  <c r="V1452" i="1"/>
  <c r="X1455" i="1"/>
  <c r="AB1453" i="1"/>
  <c r="AD1453" i="1" s="1"/>
  <c r="R1543" i="1"/>
  <c r="R1545" i="1" s="1"/>
  <c r="V762" i="1"/>
  <c r="X762" i="1" s="1"/>
  <c r="I3544" i="1"/>
  <c r="K3528" i="1"/>
  <c r="K3532" i="1" s="1"/>
  <c r="K3533" i="1" s="1"/>
  <c r="C813" i="55" s="1"/>
  <c r="P3532" i="1"/>
  <c r="R3532" i="1" s="1"/>
  <c r="R3536" i="1" s="1"/>
  <c r="R3537" i="1" s="1"/>
  <c r="AB1419" i="1"/>
  <c r="AD1419" i="1" s="1"/>
  <c r="AD1402" i="1"/>
  <c r="X1415" i="1"/>
  <c r="K2825" i="1"/>
  <c r="K2827" i="1" s="1"/>
  <c r="C619" i="55" s="1"/>
  <c r="AK553" i="1"/>
  <c r="L1097" i="11"/>
  <c r="M1096" i="11"/>
  <c r="R1064" i="1"/>
  <c r="K3857" i="27"/>
  <c r="H3889" i="1"/>
  <c r="J3889" i="1" s="1"/>
  <c r="J3873" i="1"/>
  <c r="L3319" i="27"/>
  <c r="K2209" i="27"/>
  <c r="K585" i="11"/>
  <c r="AB3625" i="1"/>
  <c r="AD3625" i="1" s="1"/>
  <c r="X3626" i="1"/>
  <c r="X3625" i="1"/>
  <c r="V3593" i="1"/>
  <c r="X3578" i="1"/>
  <c r="K3483" i="27"/>
  <c r="I3477" i="27" s="1"/>
  <c r="K3477" i="27" s="1"/>
  <c r="I3628" i="27"/>
  <c r="I1636" i="27"/>
  <c r="K1636" i="27" s="1"/>
  <c r="K1642" i="27" s="1"/>
  <c r="K1644" i="27" s="1"/>
  <c r="P65" i="27"/>
  <c r="R65" i="27" s="1"/>
  <c r="R72" i="27" s="1"/>
  <c r="R74" i="27" s="1"/>
  <c r="P631" i="27" s="1"/>
  <c r="R631" i="27" s="1"/>
  <c r="R642" i="27" s="1"/>
  <c r="P604" i="27"/>
  <c r="R604" i="27" s="1"/>
  <c r="I771" i="27"/>
  <c r="K771" i="27" s="1"/>
  <c r="K779" i="27" s="1"/>
  <c r="K781" i="27" s="1"/>
  <c r="I209" i="27"/>
  <c r="K209" i="27" s="1"/>
  <c r="K216" i="27" s="1"/>
  <c r="K218" i="27" s="1"/>
  <c r="I269" i="27"/>
  <c r="K269" i="27" s="1"/>
  <c r="K277" i="27" s="1"/>
  <c r="K279" i="27" s="1"/>
  <c r="K73" i="1"/>
  <c r="K77" i="1" s="1"/>
  <c r="I226" i="1" s="1"/>
  <c r="K64" i="1"/>
  <c r="K68" i="1" s="1"/>
  <c r="V730" i="1"/>
  <c r="X730" i="1" s="1"/>
  <c r="K3494" i="1"/>
  <c r="AD1248" i="1"/>
  <c r="AB1220" i="1"/>
  <c r="AD1220" i="1" s="1"/>
  <c r="AE2796" i="1"/>
  <c r="AG2796" i="1" s="1"/>
  <c r="X2792" i="1"/>
  <c r="X2793" i="1" s="1"/>
  <c r="X2795" i="1" s="1"/>
  <c r="AU195" i="1"/>
  <c r="AV195" i="1" s="1"/>
  <c r="AS199" i="1"/>
  <c r="P3163" i="1"/>
  <c r="R3163" i="1" s="1"/>
  <c r="R2864" i="1"/>
  <c r="AG2797" i="1"/>
  <c r="AG2799" i="1" s="1"/>
  <c r="K2643" i="1"/>
  <c r="K2645" i="1" s="1"/>
  <c r="K2647" i="1" s="1"/>
  <c r="C630" i="55" s="1"/>
  <c r="V2612" i="1"/>
  <c r="D42" i="50"/>
  <c r="F42" i="50" s="1"/>
  <c r="J542" i="1"/>
  <c r="W541" i="1"/>
  <c r="AC541" i="1" s="1"/>
  <c r="AJ541" i="1" s="1"/>
  <c r="J564" i="1"/>
  <c r="J565" i="1" s="1"/>
  <c r="J566" i="1" s="1"/>
  <c r="J567" i="1" s="1"/>
  <c r="J568" i="1" s="1"/>
  <c r="J569" i="1" s="1"/>
  <c r="J570" i="1" s="1"/>
  <c r="J571" i="1" s="1"/>
  <c r="W565" i="1"/>
  <c r="AC565" i="1" s="1"/>
  <c r="AJ565" i="1" s="1"/>
  <c r="AB1455" i="1"/>
  <c r="AD1455" i="1" s="1"/>
  <c r="X1457" i="1"/>
  <c r="I3913" i="27"/>
  <c r="K2960" i="27"/>
  <c r="K2964" i="27" s="1"/>
  <c r="K2945" i="27"/>
  <c r="L2946" i="27"/>
  <c r="F174" i="25"/>
  <c r="F176" i="25" s="1"/>
  <c r="F87" i="25"/>
  <c r="F96" i="25" s="1"/>
  <c r="F97" i="25" s="1"/>
  <c r="D109" i="25"/>
  <c r="AQ167" i="1"/>
  <c r="AS167" i="1" s="1"/>
  <c r="AU167" i="1" s="1"/>
  <c r="AV167" i="1" s="1"/>
  <c r="AS136" i="1"/>
  <c r="AU136" i="1" s="1"/>
  <c r="AV136" i="1" s="1"/>
  <c r="AB1454" i="1"/>
  <c r="AD1454" i="1" s="1"/>
  <c r="X1456" i="1"/>
  <c r="AJ1205" i="1"/>
  <c r="AC1206" i="1"/>
  <c r="K998" i="1"/>
  <c r="K1000" i="1" s="1"/>
  <c r="C624" i="55" s="1"/>
  <c r="F657" i="25"/>
  <c r="D693" i="25"/>
  <c r="F693" i="25" s="1"/>
  <c r="C884" i="55"/>
  <c r="K2187" i="27"/>
  <c r="J666" i="1"/>
  <c r="J667" i="1" s="1"/>
  <c r="J668" i="1" s="1"/>
  <c r="J669" i="1" s="1"/>
  <c r="J670" i="1" s="1"/>
  <c r="W490" i="1"/>
  <c r="AC490" i="1" s="1"/>
  <c r="AC491" i="1" s="1"/>
  <c r="AC492" i="1" s="1"/>
  <c r="AC493" i="1" s="1"/>
  <c r="AC494" i="1" s="1"/>
  <c r="AC495" i="1" s="1"/>
  <c r="AC496" i="1" s="1"/>
  <c r="AC497" i="1" s="1"/>
  <c r="I3074" i="27"/>
  <c r="K3058" i="27"/>
  <c r="K3062" i="27" s="1"/>
  <c r="S807" i="11"/>
  <c r="C853" i="55"/>
  <c r="F590" i="25"/>
  <c r="D625" i="25"/>
  <c r="Y805" i="11"/>
  <c r="Y807" i="11" s="1"/>
  <c r="W815" i="11"/>
  <c r="Y815" i="11" s="1"/>
  <c r="Y817" i="11" s="1"/>
  <c r="H3890" i="1"/>
  <c r="J3890" i="1" s="1"/>
  <c r="J3894" i="1" s="1"/>
  <c r="J3896" i="1" s="1"/>
  <c r="J3874" i="1"/>
  <c r="L68" i="11"/>
  <c r="K68" i="11"/>
  <c r="L53" i="11"/>
  <c r="K53" i="11"/>
  <c r="X1445" i="1"/>
  <c r="V1469" i="1"/>
  <c r="X1469" i="1" s="1"/>
  <c r="C693" i="55"/>
  <c r="K2267" i="1"/>
  <c r="C422" i="55" s="1"/>
  <c r="C612" i="55"/>
  <c r="C1455" i="55"/>
  <c r="K3421" i="1"/>
  <c r="K3432" i="1" s="1"/>
  <c r="K3434" i="1" s="1"/>
  <c r="R2821" i="1"/>
  <c r="P2854" i="1"/>
  <c r="R2854" i="1" s="1"/>
  <c r="P3324" i="1"/>
  <c r="R3324" i="1" s="1"/>
  <c r="R3222" i="1"/>
  <c r="R3236" i="1" s="1"/>
  <c r="R3238" i="1" s="1"/>
  <c r="P3436" i="1"/>
  <c r="R3436" i="1" s="1"/>
  <c r="R3450" i="1" s="1"/>
  <c r="R3452" i="1" s="1"/>
  <c r="C1440" i="55" s="1"/>
  <c r="P2075" i="1"/>
  <c r="R2075" i="1" s="1"/>
  <c r="R2085" i="1" s="1"/>
  <c r="R2087" i="1" s="1"/>
  <c r="K3101" i="1"/>
  <c r="K3112" i="1" s="1"/>
  <c r="K3114" i="1" s="1"/>
  <c r="C613" i="55" s="1"/>
  <c r="I3280" i="1"/>
  <c r="K1102" i="1"/>
  <c r="K1110" i="1" s="1"/>
  <c r="K1112" i="1" s="1"/>
  <c r="R2641" i="1"/>
  <c r="R2652" i="1" s="1"/>
  <c r="R2654" i="1" s="1"/>
  <c r="K1017" i="1"/>
  <c r="K1028" i="1" s="1"/>
  <c r="K1030" i="1" s="1"/>
  <c r="C296" i="55" s="1"/>
  <c r="P1091" i="1"/>
  <c r="K1054" i="1"/>
  <c r="K1064" i="1" s="1"/>
  <c r="K1066" i="1" s="1"/>
  <c r="C305" i="55" s="1"/>
  <c r="P988" i="1"/>
  <c r="R988" i="1" s="1"/>
  <c r="R998" i="1" s="1"/>
  <c r="R1000" i="1" s="1"/>
  <c r="C637" i="55" s="1"/>
  <c r="P1065" i="1"/>
  <c r="P1090" i="1"/>
  <c r="AE1063" i="1"/>
  <c r="AG1063" i="1" s="1"/>
  <c r="AG1073" i="1" s="1"/>
  <c r="AG1075" i="1" s="1"/>
  <c r="Z2600" i="1"/>
  <c r="Z2610" i="1" s="1"/>
  <c r="Z2611" i="1" s="1"/>
  <c r="AE2616" i="1"/>
  <c r="AG2616" i="1" s="1"/>
  <c r="AG2627" i="1" s="1"/>
  <c r="AG2629" i="1" s="1"/>
  <c r="C627" i="55" s="1"/>
  <c r="AE2650" i="1"/>
  <c r="AG2650" i="1" s="1"/>
  <c r="X2602" i="1"/>
  <c r="K3600" i="1"/>
  <c r="K3610" i="1" s="1"/>
  <c r="K3612" i="1" s="1"/>
  <c r="I3623" i="1"/>
  <c r="K3623" i="1" s="1"/>
  <c r="K3631" i="1" s="1"/>
  <c r="K3633" i="1" s="1"/>
  <c r="P3395" i="1"/>
  <c r="R3395" i="1" s="1"/>
  <c r="R3292" i="1"/>
  <c r="R3303" i="1" s="1"/>
  <c r="R3305" i="1" s="1"/>
  <c r="P3361" i="1"/>
  <c r="R3361" i="1" s="1"/>
  <c r="R3372" i="1" s="1"/>
  <c r="R3374" i="1" s="1"/>
  <c r="C1442" i="55" s="1"/>
  <c r="K951" i="1"/>
  <c r="K962" i="1" s="1"/>
  <c r="K964" i="1" s="1"/>
  <c r="D546" i="25"/>
  <c r="C301" i="55"/>
  <c r="C609" i="55"/>
  <c r="C607" i="55"/>
  <c r="C299" i="55"/>
  <c r="R1089" i="1"/>
  <c r="P1111" i="1"/>
  <c r="R2822" i="1"/>
  <c r="P2855" i="1"/>
  <c r="R2855" i="1" s="1"/>
  <c r="R3154" i="1"/>
  <c r="R3164" i="1" s="1"/>
  <c r="R3166" i="1" s="1"/>
  <c r="V3114" i="1"/>
  <c r="R3337" i="1"/>
  <c r="R3339" i="1" s="1"/>
  <c r="C1439" i="55" s="1"/>
  <c r="R3406" i="1"/>
  <c r="R3408" i="1" s="1"/>
  <c r="D307" i="25"/>
  <c r="F307" i="25" s="1"/>
  <c r="D164" i="25"/>
  <c r="F164" i="25" s="1"/>
  <c r="F141" i="25"/>
  <c r="AD1251" i="1"/>
  <c r="AB1223" i="1"/>
  <c r="AD1223" i="1" s="1"/>
  <c r="AD1250" i="1"/>
  <c r="AB1222" i="1"/>
  <c r="AD1222" i="1" s="1"/>
  <c r="AB3618" i="1"/>
  <c r="AD3618" i="1" s="1"/>
  <c r="X3618" i="1"/>
  <c r="P2114" i="1"/>
  <c r="R2114" i="1" s="1"/>
  <c r="R2116" i="1" s="1"/>
  <c r="R2107" i="1"/>
  <c r="P1174" i="1"/>
  <c r="R1174" i="1" s="1"/>
  <c r="R1143" i="1"/>
  <c r="K54" i="1"/>
  <c r="K58" i="1" s="1"/>
  <c r="K45" i="1"/>
  <c r="K49" i="1" s="1"/>
  <c r="K28" i="1"/>
  <c r="K32" i="1" s="1"/>
  <c r="K809" i="1"/>
  <c r="V644" i="1"/>
  <c r="V802" i="1"/>
  <c r="I2899" i="1"/>
  <c r="K2899" i="1" s="1"/>
  <c r="K2905" i="1" s="1"/>
  <c r="K2907" i="1" s="1"/>
  <c r="K2911" i="1" s="1"/>
  <c r="K505" i="1"/>
  <c r="K511" i="1" s="1"/>
  <c r="K513" i="1" s="1"/>
  <c r="P2155" i="1"/>
  <c r="R2155" i="1" s="1"/>
  <c r="R2163" i="1" s="1"/>
  <c r="R2165" i="1" s="1"/>
  <c r="K2148" i="1"/>
  <c r="K2156" i="1" s="1"/>
  <c r="K2158" i="1" s="1"/>
  <c r="C404" i="55" s="1"/>
  <c r="K19" i="1"/>
  <c r="K23" i="1" s="1"/>
  <c r="P2348" i="1"/>
  <c r="R2348" i="1" s="1"/>
  <c r="K140" i="1"/>
  <c r="K144" i="1" s="1"/>
  <c r="C38" i="55" s="1"/>
  <c r="R22" i="1"/>
  <c r="R28" i="1" s="1"/>
  <c r="R30" i="1" s="1"/>
  <c r="W590" i="1"/>
  <c r="K10" i="1"/>
  <c r="AQ108" i="1"/>
  <c r="AS108" i="1" s="1"/>
  <c r="AU108" i="1" s="1"/>
  <c r="AV108" i="1" s="1"/>
  <c r="P164" i="1"/>
  <c r="R164" i="1" s="1"/>
  <c r="P232" i="1"/>
  <c r="R232" i="1" s="1"/>
  <c r="I1405" i="1"/>
  <c r="I411" i="1"/>
  <c r="K411" i="1" s="1"/>
  <c r="K418" i="1" s="1"/>
  <c r="K420" i="1" s="1"/>
  <c r="I487" i="1"/>
  <c r="K487" i="1" s="1"/>
  <c r="K495" i="1" s="1"/>
  <c r="K497" i="1" s="1"/>
  <c r="C63" i="55" s="1"/>
  <c r="I356" i="1"/>
  <c r="I1200" i="1"/>
  <c r="AQ133" i="1"/>
  <c r="I445" i="1"/>
  <c r="K445" i="1" s="1"/>
  <c r="K452" i="1" s="1"/>
  <c r="K454" i="1" s="1"/>
  <c r="I459" i="1" s="1"/>
  <c r="K459" i="1" s="1"/>
  <c r="K463" i="1" s="1"/>
  <c r="K465" i="1" s="1"/>
  <c r="K467" i="1" s="1"/>
  <c r="I380" i="1"/>
  <c r="P362" i="1"/>
  <c r="R362" i="1" s="1"/>
  <c r="R370" i="1" s="1"/>
  <c r="R372" i="1" s="1"/>
  <c r="D41" i="32"/>
  <c r="V675" i="1"/>
  <c r="X705" i="1"/>
  <c r="P2346" i="1"/>
  <c r="C74" i="1"/>
  <c r="P231" i="1"/>
  <c r="R231" i="1" s="1"/>
  <c r="I167" i="1"/>
  <c r="K167" i="1" s="1"/>
  <c r="K171" i="1" s="1"/>
  <c r="C43" i="55" s="1"/>
  <c r="K3502" i="1"/>
  <c r="V815" i="1"/>
  <c r="X815" i="1" s="1"/>
  <c r="X800" i="1"/>
  <c r="K3500" i="1"/>
  <c r="P65" i="1"/>
  <c r="R65" i="1" s="1"/>
  <c r="I1705" i="1"/>
  <c r="K1705" i="1" s="1"/>
  <c r="I210" i="1"/>
  <c r="K210" i="1" s="1"/>
  <c r="P195" i="1"/>
  <c r="R195" i="1" s="1"/>
  <c r="I807" i="1"/>
  <c r="K807" i="1" s="1"/>
  <c r="P626" i="1"/>
  <c r="R626" i="1" s="1"/>
  <c r="P1141" i="1"/>
  <c r="I270" i="1"/>
  <c r="K270" i="1" s="1"/>
  <c r="K278" i="1" s="1"/>
  <c r="K280" i="1" s="1"/>
  <c r="I587" i="27"/>
  <c r="K587" i="27"/>
  <c r="I593" i="1"/>
  <c r="K593" i="1" s="1"/>
  <c r="C650" i="55"/>
  <c r="C254" i="55"/>
  <c r="I652" i="11"/>
  <c r="K612" i="11"/>
  <c r="I606" i="11" s="1"/>
  <c r="K269" i="11"/>
  <c r="K273" i="11" s="1"/>
  <c r="I283" i="11"/>
  <c r="I984" i="11"/>
  <c r="P242" i="11"/>
  <c r="AB1244" i="1"/>
  <c r="X1239" i="1"/>
  <c r="AB1435" i="1"/>
  <c r="AD1435" i="1" s="1"/>
  <c r="AD1437" i="1" s="1"/>
  <c r="AD1438" i="1" s="1"/>
  <c r="X1437" i="1"/>
  <c r="X1439" i="1" s="1"/>
  <c r="X1440" i="1" s="1"/>
  <c r="AS89" i="1"/>
  <c r="AQ109" i="1"/>
  <c r="AB1420" i="1"/>
  <c r="AD1420" i="1" s="1"/>
  <c r="AD1430" i="1" s="1"/>
  <c r="AD1403" i="1"/>
  <c r="AD1413" i="1" s="1"/>
  <c r="AB1452" i="1"/>
  <c r="AD1452" i="1" s="1"/>
  <c r="X1454" i="1"/>
  <c r="D588" i="25"/>
  <c r="F551" i="25"/>
  <c r="I615" i="1"/>
  <c r="C662" i="55"/>
  <c r="K615" i="1"/>
  <c r="C260" i="55"/>
  <c r="I3977" i="1"/>
  <c r="K3977" i="1" s="1"/>
  <c r="K3960" i="1"/>
  <c r="V1444" i="1"/>
  <c r="R1483" i="1"/>
  <c r="R1485" i="1" s="1"/>
  <c r="K569" i="11"/>
  <c r="L566" i="11"/>
  <c r="K3955" i="1"/>
  <c r="I3972" i="1"/>
  <c r="K3972" i="1" s="1"/>
  <c r="M1119" i="11"/>
  <c r="K1126" i="11"/>
  <c r="L1121" i="11"/>
  <c r="K1120" i="11"/>
  <c r="C1499" i="55" s="1"/>
  <c r="I3415" i="27"/>
  <c r="K3415" i="27" s="1"/>
  <c r="K3419" i="27" s="1"/>
  <c r="I3476" i="27"/>
  <c r="K3476" i="27" s="1"/>
  <c r="K3396" i="27"/>
  <c r="K3400" i="27" s="1"/>
  <c r="V3606" i="1"/>
  <c r="X3606" i="1" s="1"/>
  <c r="X3589" i="1"/>
  <c r="C1498" i="55"/>
  <c r="C917" i="55"/>
  <c r="V1453" i="1"/>
  <c r="R1492" i="1"/>
  <c r="R1502" i="1" s="1"/>
  <c r="X593" i="1"/>
  <c r="C657" i="55"/>
  <c r="AG426" i="1"/>
  <c r="AE441" i="1"/>
  <c r="AG441" i="1" s="1"/>
  <c r="L585" i="11"/>
  <c r="K588" i="11"/>
  <c r="K248" i="11"/>
  <c r="K256" i="11"/>
  <c r="K260" i="11" s="1"/>
  <c r="C833" i="55"/>
  <c r="C319" i="55"/>
  <c r="C832" i="55"/>
  <c r="C779" i="55"/>
  <c r="S1545" i="1"/>
  <c r="K2186" i="27"/>
  <c r="C883" i="55"/>
  <c r="O3398" i="27"/>
  <c r="C882" i="55"/>
  <c r="K2185" i="27"/>
  <c r="AE3544" i="1" l="1"/>
  <c r="K3544" i="1"/>
  <c r="K3548" i="1" s="1"/>
  <c r="K3549" i="1" s="1"/>
  <c r="C815" i="55" s="1"/>
  <c r="V3544" i="1"/>
  <c r="P3548" i="1"/>
  <c r="R3548" i="1" s="1"/>
  <c r="R3552" i="1" s="1"/>
  <c r="R3553" i="1" s="1"/>
  <c r="I1418" i="1"/>
  <c r="K1418" i="1" s="1"/>
  <c r="K1424" i="1" s="1"/>
  <c r="K1426" i="1" s="1"/>
  <c r="C343" i="55" s="1"/>
  <c r="D655" i="73"/>
  <c r="F655" i="73" s="1"/>
  <c r="F661" i="73" s="1"/>
  <c r="F663" i="73" s="1"/>
  <c r="D18" i="71" s="1"/>
  <c r="AB1450" i="1"/>
  <c r="AD1450" i="1" s="1"/>
  <c r="X1452" i="1"/>
  <c r="K3481" i="27"/>
  <c r="L3481" i="27" s="1"/>
  <c r="D10" i="71"/>
  <c r="F10" i="71" s="1"/>
  <c r="P51" i="1"/>
  <c r="R51" i="1" s="1"/>
  <c r="R57" i="1" s="1"/>
  <c r="R60" i="1" s="1"/>
  <c r="P610" i="1" s="1"/>
  <c r="R610" i="1" s="1"/>
  <c r="K984" i="11"/>
  <c r="K992" i="11" s="1"/>
  <c r="K1014" i="11" s="1"/>
  <c r="R1065" i="1"/>
  <c r="R1075" i="1" s="1"/>
  <c r="R1077" i="1" s="1"/>
  <c r="I2306" i="27"/>
  <c r="K2306" i="27" s="1"/>
  <c r="K2313" i="27" s="1"/>
  <c r="K2316" i="27" s="1"/>
  <c r="I1662" i="27"/>
  <c r="K1662" i="27" s="1"/>
  <c r="K1665" i="27" s="1"/>
  <c r="K1667" i="27" s="1"/>
  <c r="I1672" i="27" s="1"/>
  <c r="K1672" i="27" s="1"/>
  <c r="K1675" i="27" s="1"/>
  <c r="K1677" i="27" s="1"/>
  <c r="I2465" i="27"/>
  <c r="K2465" i="27" s="1"/>
  <c r="K2472" i="27" s="1"/>
  <c r="K2474" i="27" s="1"/>
  <c r="I1651" i="27"/>
  <c r="K1651" i="27" s="1"/>
  <c r="K1656" i="27" s="1"/>
  <c r="K1658" i="27" s="1"/>
  <c r="J3878" i="1"/>
  <c r="J3880" i="1" s="1"/>
  <c r="I815" i="27"/>
  <c r="K815" i="27" s="1"/>
  <c r="K827" i="27" s="1"/>
  <c r="I850" i="27"/>
  <c r="K850" i="27" s="1"/>
  <c r="K863" i="27" s="1"/>
  <c r="K785" i="27"/>
  <c r="K788" i="27" s="1"/>
  <c r="K789" i="27" s="1"/>
  <c r="K790" i="27" s="1"/>
  <c r="K791" i="27" s="1"/>
  <c r="K792" i="27" s="1"/>
  <c r="I833" i="27"/>
  <c r="K833" i="27" s="1"/>
  <c r="K846" i="27" s="1"/>
  <c r="K3628" i="27"/>
  <c r="I3615" i="27" s="1"/>
  <c r="I3677" i="27"/>
  <c r="K3677" i="27" s="1"/>
  <c r="K606" i="11"/>
  <c r="K610" i="11" s="1"/>
  <c r="K2287" i="1" s="1"/>
  <c r="C446" i="55" s="1"/>
  <c r="V3610" i="1"/>
  <c r="X3610" i="1" s="1"/>
  <c r="X3593" i="1"/>
  <c r="K3913" i="27"/>
  <c r="K3917" i="27" s="1"/>
  <c r="K3918" i="27" s="1"/>
  <c r="I608" i="27"/>
  <c r="K608" i="27" s="1"/>
  <c r="K612" i="27" s="1"/>
  <c r="K614" i="27" s="1"/>
  <c r="K284" i="27"/>
  <c r="K286" i="27" s="1"/>
  <c r="K287" i="27" s="1"/>
  <c r="K288" i="27" s="1"/>
  <c r="K289" i="27" s="1"/>
  <c r="K290" i="27" s="1"/>
  <c r="P634" i="27"/>
  <c r="R634" i="27" s="1"/>
  <c r="K226" i="1"/>
  <c r="K232" i="1" s="1"/>
  <c r="K234" i="1" s="1"/>
  <c r="C47" i="55" s="1"/>
  <c r="K1200" i="1"/>
  <c r="K1211" i="1" s="1"/>
  <c r="K1213" i="1" s="1"/>
  <c r="C330" i="55" s="1"/>
  <c r="K1405" i="1"/>
  <c r="K1412" i="1" s="1"/>
  <c r="K1414" i="1" s="1"/>
  <c r="C342" i="55" s="1"/>
  <c r="X2612" i="1"/>
  <c r="AE2660" i="1"/>
  <c r="AG2660" i="1" s="1"/>
  <c r="X2613" i="1"/>
  <c r="X2615" i="1" s="1"/>
  <c r="AS201" i="1"/>
  <c r="AU199" i="1"/>
  <c r="AV199" i="1" s="1"/>
  <c r="AG2661" i="1"/>
  <c r="AG2663" i="1" s="1"/>
  <c r="R2865" i="1"/>
  <c r="R2867" i="1" s="1"/>
  <c r="C621" i="55" s="1"/>
  <c r="D105" i="50"/>
  <c r="F105" i="50" s="1"/>
  <c r="K2188" i="27"/>
  <c r="C885" i="55"/>
  <c r="I3100" i="27"/>
  <c r="I3936" i="27"/>
  <c r="K3936" i="27" s="1"/>
  <c r="K3939" i="27" s="1"/>
  <c r="K3941" i="27" s="1"/>
  <c r="K3074" i="27"/>
  <c r="K3077" i="27" s="1"/>
  <c r="F109" i="25"/>
  <c r="F118" i="25" s="1"/>
  <c r="H118" i="25" s="1"/>
  <c r="D132" i="25"/>
  <c r="K2965" i="27"/>
  <c r="L2966" i="27"/>
  <c r="C295" i="55"/>
  <c r="L3064" i="27"/>
  <c r="K3063" i="27"/>
  <c r="AC1207" i="1"/>
  <c r="AC1208" i="1" s="1"/>
  <c r="AJ1206" i="1"/>
  <c r="W542" i="1"/>
  <c r="AC542" i="1" s="1"/>
  <c r="AJ542" i="1" s="1"/>
  <c r="J543" i="1"/>
  <c r="K2262" i="1"/>
  <c r="C417" i="55" s="1"/>
  <c r="D31" i="71" s="1"/>
  <c r="F31" i="71" s="1"/>
  <c r="C688" i="55"/>
  <c r="F625" i="25"/>
  <c r="D661" i="25"/>
  <c r="C689" i="55"/>
  <c r="K2263" i="1"/>
  <c r="C418" i="55" s="1"/>
  <c r="L610" i="11"/>
  <c r="K3514" i="1"/>
  <c r="K3515" i="1" s="1"/>
  <c r="C559" i="55" s="1"/>
  <c r="Z807" i="11"/>
  <c r="C938" i="55"/>
  <c r="D33" i="71" s="1"/>
  <c r="F33" i="71" s="1"/>
  <c r="F546" i="25"/>
  <c r="F556" i="25" s="1"/>
  <c r="F558" i="25" s="1"/>
  <c r="C875" i="55" s="1"/>
  <c r="D583" i="25"/>
  <c r="C623" i="55"/>
  <c r="C294" i="55"/>
  <c r="I4064" i="1"/>
  <c r="K4064" i="1" s="1"/>
  <c r="K4074" i="1" s="1"/>
  <c r="K4076" i="1" s="1"/>
  <c r="V3131" i="1"/>
  <c r="X3114" i="1"/>
  <c r="X3124" i="1" s="1"/>
  <c r="X3126" i="1" s="1"/>
  <c r="R1111" i="1"/>
  <c r="V3634" i="1"/>
  <c r="X3634" i="1" s="1"/>
  <c r="V3248" i="1"/>
  <c r="X3248" i="1" s="1"/>
  <c r="X3259" i="1" s="1"/>
  <c r="X3261" i="1" s="1"/>
  <c r="K3280" i="1"/>
  <c r="K3291" i="1" s="1"/>
  <c r="K3293" i="1" s="1"/>
  <c r="C626" i="55"/>
  <c r="C1441" i="55"/>
  <c r="P1112" i="1"/>
  <c r="R1090" i="1"/>
  <c r="R1091" i="1"/>
  <c r="P1113" i="1"/>
  <c r="C631" i="55"/>
  <c r="C1434" i="55"/>
  <c r="C610" i="55"/>
  <c r="C302" i="55"/>
  <c r="K815" i="1"/>
  <c r="K817" i="1" s="1"/>
  <c r="K821" i="1" s="1"/>
  <c r="R2832" i="1"/>
  <c r="R2834" i="1" s="1"/>
  <c r="R238" i="1"/>
  <c r="R240" i="1" s="1"/>
  <c r="C591" i="55" s="1"/>
  <c r="I1971" i="1"/>
  <c r="P596" i="1"/>
  <c r="R596" i="1" s="1"/>
  <c r="I1271" i="1"/>
  <c r="AB1332" i="1"/>
  <c r="AC1332" i="1" s="1"/>
  <c r="AC1336" i="1" s="1"/>
  <c r="AC1337" i="1" s="1"/>
  <c r="V1341" i="1" s="1"/>
  <c r="X1341" i="1" s="1"/>
  <c r="I211" i="1"/>
  <c r="K211" i="1" s="1"/>
  <c r="K217" i="1" s="1"/>
  <c r="K219" i="1" s="1"/>
  <c r="C46" i="55" s="1"/>
  <c r="P307" i="1"/>
  <c r="R307" i="1" s="1"/>
  <c r="R313" i="1" s="1"/>
  <c r="R315" i="1" s="1"/>
  <c r="P66" i="1"/>
  <c r="R66" i="1" s="1"/>
  <c r="R72" i="1" s="1"/>
  <c r="R74" i="1" s="1"/>
  <c r="P653" i="1" s="1"/>
  <c r="R653" i="1" s="1"/>
  <c r="P319" i="1"/>
  <c r="R319" i="1" s="1"/>
  <c r="R325" i="1" s="1"/>
  <c r="R327" i="1" s="1"/>
  <c r="I3807" i="1"/>
  <c r="K3807" i="1" s="1"/>
  <c r="K3812" i="1" s="1"/>
  <c r="K3814" i="1" s="1"/>
  <c r="C924" i="55" s="1"/>
  <c r="K2913" i="1"/>
  <c r="C571" i="55"/>
  <c r="V707" i="1"/>
  <c r="AD644" i="1"/>
  <c r="AF644" i="1" s="1"/>
  <c r="AF650" i="1" s="1"/>
  <c r="AF652" i="1" s="1"/>
  <c r="AF654" i="1" s="1"/>
  <c r="AF655" i="1" s="1"/>
  <c r="AF657" i="1" s="1"/>
  <c r="X644" i="1"/>
  <c r="X650" i="1" s="1"/>
  <c r="X652" i="1" s="1"/>
  <c r="X654" i="1" s="1"/>
  <c r="X655" i="1" s="1"/>
  <c r="X657" i="1" s="1"/>
  <c r="I1392" i="1"/>
  <c r="P80" i="1"/>
  <c r="R80" i="1" s="1"/>
  <c r="R87" i="1" s="1"/>
  <c r="R89" i="1" s="1"/>
  <c r="P654" i="1" s="1"/>
  <c r="R654" i="1" s="1"/>
  <c r="P336" i="1"/>
  <c r="R336" i="1" s="1"/>
  <c r="R342" i="1" s="1"/>
  <c r="R344" i="1" s="1"/>
  <c r="V312" i="1"/>
  <c r="X312" i="1" s="1"/>
  <c r="X319" i="1" s="1"/>
  <c r="X321" i="1" s="1"/>
  <c r="I1478" i="1"/>
  <c r="K1478" i="1" s="1"/>
  <c r="K1483" i="1" s="1"/>
  <c r="K1485" i="1" s="1"/>
  <c r="C347" i="55" s="1"/>
  <c r="AE312" i="1"/>
  <c r="I1453" i="1"/>
  <c r="K1453" i="1" s="1"/>
  <c r="K1458" i="1" s="1"/>
  <c r="K1460" i="1" s="1"/>
  <c r="C345" i="55" s="1"/>
  <c r="I1465" i="1"/>
  <c r="K1465" i="1" s="1"/>
  <c r="K1470" i="1" s="1"/>
  <c r="K1472" i="1" s="1"/>
  <c r="C346" i="55" s="1"/>
  <c r="AQ64" i="1"/>
  <c r="AS64" i="1" s="1"/>
  <c r="AS71" i="1" s="1"/>
  <c r="AS73" i="1" s="1"/>
  <c r="I297" i="1"/>
  <c r="K297" i="1" s="1"/>
  <c r="K304" i="1" s="1"/>
  <c r="K306" i="1" s="1"/>
  <c r="C54" i="55" s="1"/>
  <c r="I3252" i="1"/>
  <c r="K3252" i="1" s="1"/>
  <c r="K3258" i="1" s="1"/>
  <c r="K3260" i="1" s="1"/>
  <c r="I196" i="1"/>
  <c r="I312" i="1"/>
  <c r="AQ164" i="1"/>
  <c r="AS164" i="1" s="1"/>
  <c r="AU164" i="1" s="1"/>
  <c r="AV164" i="1" s="1"/>
  <c r="AS133" i="1"/>
  <c r="AU133" i="1" s="1"/>
  <c r="AV133" i="1" s="1"/>
  <c r="I426" i="1"/>
  <c r="K426" i="1" s="1"/>
  <c r="K430" i="1" s="1"/>
  <c r="K432" i="1" s="1"/>
  <c r="K434" i="1" s="1"/>
  <c r="P267" i="1"/>
  <c r="R267" i="1" s="1"/>
  <c r="R271" i="1" s="1"/>
  <c r="R273" i="1" s="1"/>
  <c r="R275" i="1" s="1"/>
  <c r="R276" i="1" s="1"/>
  <c r="R277" i="1" s="1"/>
  <c r="R278" i="1" s="1"/>
  <c r="N14" i="1"/>
  <c r="K14" i="1"/>
  <c r="I550" i="1"/>
  <c r="K550" i="1" s="1"/>
  <c r="K555" i="1" s="1"/>
  <c r="K557" i="1" s="1"/>
  <c r="I526" i="1"/>
  <c r="K526" i="1" s="1"/>
  <c r="K531" i="1" s="1"/>
  <c r="K533" i="1" s="1"/>
  <c r="I535" i="1" s="1"/>
  <c r="K535" i="1" s="1"/>
  <c r="K517" i="1"/>
  <c r="K519" i="1" s="1"/>
  <c r="X802" i="1"/>
  <c r="X811" i="1" s="1"/>
  <c r="V817" i="1"/>
  <c r="X817" i="1" s="1"/>
  <c r="X826" i="1" s="1"/>
  <c r="Z815" i="1" s="1"/>
  <c r="Z816" i="1" s="1"/>
  <c r="Z817" i="1" s="1"/>
  <c r="Z818" i="1" s="1"/>
  <c r="Z819" i="1" s="1"/>
  <c r="Z820" i="1" s="1"/>
  <c r="Z821" i="1" s="1"/>
  <c r="Z822" i="1" s="1"/>
  <c r="Z823" i="1" s="1"/>
  <c r="Z824" i="1" s="1"/>
  <c r="I1336" i="1"/>
  <c r="P196" i="1"/>
  <c r="I1354" i="1"/>
  <c r="I1706" i="1"/>
  <c r="K1706" i="1" s="1"/>
  <c r="K1711" i="1" s="1"/>
  <c r="K1713" i="1" s="1"/>
  <c r="I620" i="1"/>
  <c r="K620" i="1" s="1"/>
  <c r="K625" i="1" s="1"/>
  <c r="K627" i="1" s="1"/>
  <c r="I628" i="1" s="1"/>
  <c r="K628" i="1" s="1"/>
  <c r="I2424" i="1"/>
  <c r="P296" i="1"/>
  <c r="R296" i="1" s="1"/>
  <c r="R302" i="1" s="1"/>
  <c r="R304" i="1" s="1"/>
  <c r="I1376" i="1"/>
  <c r="K1376" i="1" s="1"/>
  <c r="I1433" i="1"/>
  <c r="K1433" i="1" s="1"/>
  <c r="I1249" i="1"/>
  <c r="I1220" i="1"/>
  <c r="I3455" i="1"/>
  <c r="P1333" i="1"/>
  <c r="P657" i="1"/>
  <c r="R657" i="1" s="1"/>
  <c r="C217" i="55"/>
  <c r="K468" i="1"/>
  <c r="I336" i="1"/>
  <c r="AQ88" i="1"/>
  <c r="AS88" i="1" s="1"/>
  <c r="AS95" i="1" s="1"/>
  <c r="AS97" i="1" s="1"/>
  <c r="AS99" i="1" s="1"/>
  <c r="P180" i="1"/>
  <c r="R180" i="1" s="1"/>
  <c r="V380" i="1"/>
  <c r="K380" i="1"/>
  <c r="K387" i="1" s="1"/>
  <c r="K389" i="1" s="1"/>
  <c r="I394" i="1" s="1"/>
  <c r="K394" i="1" s="1"/>
  <c r="K398" i="1" s="1"/>
  <c r="K400" i="1" s="1"/>
  <c r="V356" i="1"/>
  <c r="K356" i="1"/>
  <c r="K363" i="1" s="1"/>
  <c r="K365" i="1" s="1"/>
  <c r="K367" i="1" s="1"/>
  <c r="R2346" i="1"/>
  <c r="P2355" i="1"/>
  <c r="R2355" i="1" s="1"/>
  <c r="R2357" i="1" s="1"/>
  <c r="C709" i="55" s="1"/>
  <c r="X675" i="1"/>
  <c r="V729" i="1"/>
  <c r="X729" i="1" s="1"/>
  <c r="V761" i="1"/>
  <c r="X761" i="1" s="1"/>
  <c r="D41" i="50"/>
  <c r="R1141" i="1"/>
  <c r="R1152" i="1" s="1"/>
  <c r="R1156" i="1" s="1"/>
  <c r="P1172" i="1"/>
  <c r="R1172" i="1" s="1"/>
  <c r="R1183" i="1" s="1"/>
  <c r="V195" i="1"/>
  <c r="X195" i="1" s="1"/>
  <c r="I195" i="1"/>
  <c r="Z705" i="1"/>
  <c r="P656" i="1"/>
  <c r="R656" i="1" s="1"/>
  <c r="I637" i="1"/>
  <c r="K637" i="1" s="1"/>
  <c r="K641" i="1" s="1"/>
  <c r="K643" i="1" s="1"/>
  <c r="K285" i="1"/>
  <c r="F41" i="32"/>
  <c r="D104" i="32"/>
  <c r="F104" i="32" s="1"/>
  <c r="K261" i="11"/>
  <c r="C1464" i="55" s="1"/>
  <c r="L260" i="11"/>
  <c r="AB1451" i="1"/>
  <c r="AD1451" i="1" s="1"/>
  <c r="AD1461" i="1" s="1"/>
  <c r="X1453" i="1"/>
  <c r="X1463" i="1" s="1"/>
  <c r="C313" i="55" s="1"/>
  <c r="K1139" i="11"/>
  <c r="K1130" i="11"/>
  <c r="K1131" i="11" s="1"/>
  <c r="L569" i="11"/>
  <c r="M566" i="11"/>
  <c r="L3396" i="27"/>
  <c r="AQ134" i="1"/>
  <c r="AS109" i="1"/>
  <c r="R242" i="11"/>
  <c r="R246" i="11" s="1"/>
  <c r="AE242" i="11"/>
  <c r="AG242" i="11" s="1"/>
  <c r="AG246" i="11" s="1"/>
  <c r="L588" i="11"/>
  <c r="M585" i="11"/>
  <c r="X594" i="1"/>
  <c r="X595" i="1" s="1"/>
  <c r="Y590" i="1" s="1"/>
  <c r="Y591" i="1" s="1"/>
  <c r="Y592" i="1" s="1"/>
  <c r="Y593" i="1" s="1"/>
  <c r="Y594" i="1" s="1"/>
  <c r="C658" i="55"/>
  <c r="V1468" i="1"/>
  <c r="X1468" i="1" s="1"/>
  <c r="X1470" i="1" s="1"/>
  <c r="X1471" i="1" s="1"/>
  <c r="X1444" i="1"/>
  <c r="X1446" i="1" s="1"/>
  <c r="X1447" i="1" s="1"/>
  <c r="C834" i="55" s="1"/>
  <c r="K274" i="11"/>
  <c r="L275" i="11"/>
  <c r="L589" i="11"/>
  <c r="C445" i="55"/>
  <c r="C721" i="55"/>
  <c r="S1446" i="1"/>
  <c r="R1486" i="1"/>
  <c r="C831" i="55" s="1"/>
  <c r="C320" i="55"/>
  <c r="C835" i="55"/>
  <c r="P283" i="11"/>
  <c r="K283" i="11"/>
  <c r="K287" i="11" s="1"/>
  <c r="C651" i="55"/>
  <c r="C255" i="55"/>
  <c r="I594" i="1"/>
  <c r="K594" i="1" s="1"/>
  <c r="L250" i="11"/>
  <c r="K249" i="11"/>
  <c r="K2282" i="1" s="1"/>
  <c r="L571" i="11"/>
  <c r="C444" i="55"/>
  <c r="C722" i="55"/>
  <c r="C663" i="55"/>
  <c r="K616" i="1"/>
  <c r="C261" i="55"/>
  <c r="I616" i="1"/>
  <c r="D623" i="25"/>
  <c r="F588" i="25"/>
  <c r="AB1216" i="1"/>
  <c r="AD1216" i="1" s="1"/>
  <c r="AD1244" i="1"/>
  <c r="I797" i="11"/>
  <c r="K652" i="11"/>
  <c r="I646" i="11" s="1"/>
  <c r="K646" i="11" s="1"/>
  <c r="K650" i="11" s="1"/>
  <c r="L650" i="11" s="1"/>
  <c r="AG3544" i="1" l="1"/>
  <c r="AG3548" i="1" s="1"/>
  <c r="AG3549" i="1" s="1"/>
  <c r="C817" i="55" s="1"/>
  <c r="AE3560" i="1"/>
  <c r="X3544" i="1"/>
  <c r="X3548" i="1" s="1"/>
  <c r="X3549" i="1" s="1"/>
  <c r="C816" i="55" s="1"/>
  <c r="V3560" i="1"/>
  <c r="V3524" i="1"/>
  <c r="X3524" i="1" s="1"/>
  <c r="X3528" i="1" s="1"/>
  <c r="X3529" i="1" s="1"/>
  <c r="K993" i="11"/>
  <c r="M993" i="11"/>
  <c r="I2105" i="1"/>
  <c r="K2105" i="1" s="1"/>
  <c r="K2111" i="1" s="1"/>
  <c r="C399" i="55" s="1"/>
  <c r="I1991" i="1"/>
  <c r="K1991" i="1" s="1"/>
  <c r="P623" i="1"/>
  <c r="R623" i="1" s="1"/>
  <c r="I2441" i="1"/>
  <c r="K2441" i="1" s="1"/>
  <c r="K2446" i="1" s="1"/>
  <c r="K2448" i="1" s="1"/>
  <c r="L3919" i="27"/>
  <c r="P577" i="27"/>
  <c r="R577" i="27" s="1"/>
  <c r="P608" i="27"/>
  <c r="R608" i="27" s="1"/>
  <c r="I620" i="27"/>
  <c r="K620" i="27" s="1"/>
  <c r="K626" i="27" s="1"/>
  <c r="K628" i="27" s="1"/>
  <c r="K630" i="27" s="1"/>
  <c r="I2693" i="27"/>
  <c r="K2693" i="27" s="1"/>
  <c r="P591" i="27"/>
  <c r="R591" i="27" s="1"/>
  <c r="I3673" i="27"/>
  <c r="K3673" i="27" s="1"/>
  <c r="I3663" i="27"/>
  <c r="K3663" i="27" s="1"/>
  <c r="K3615" i="27"/>
  <c r="I3646" i="27"/>
  <c r="K3646" i="27" s="1"/>
  <c r="K1336" i="1"/>
  <c r="K1342" i="1" s="1"/>
  <c r="K1344" i="1" s="1"/>
  <c r="V1333" i="1" s="1"/>
  <c r="X1333" i="1" s="1"/>
  <c r="K1354" i="1"/>
  <c r="I2992" i="1"/>
  <c r="K2992" i="1" s="1"/>
  <c r="K2999" i="1" s="1"/>
  <c r="K3001" i="1" s="1"/>
  <c r="K312" i="1"/>
  <c r="K319" i="1" s="1"/>
  <c r="K321" i="1" s="1"/>
  <c r="C59" i="55" s="1"/>
  <c r="AS203" i="1"/>
  <c r="AU201" i="1"/>
  <c r="AV201" i="1" s="1"/>
  <c r="R1101" i="1"/>
  <c r="R1103" i="1" s="1"/>
  <c r="C887" i="55"/>
  <c r="K2190" i="27"/>
  <c r="I3114" i="27"/>
  <c r="P3073" i="27"/>
  <c r="R3073" i="27" s="1"/>
  <c r="R3077" i="27" s="1"/>
  <c r="R3078" i="27" s="1"/>
  <c r="K3100" i="27"/>
  <c r="K3104" i="27" s="1"/>
  <c r="D133" i="25"/>
  <c r="D298" i="25"/>
  <c r="F298" i="25" s="1"/>
  <c r="F132" i="25"/>
  <c r="K3948" i="27"/>
  <c r="K3952" i="27" s="1"/>
  <c r="K3953" i="27" s="1"/>
  <c r="K3942" i="27"/>
  <c r="J544" i="1"/>
  <c r="W543" i="1"/>
  <c r="AC543" i="1" s="1"/>
  <c r="AJ543" i="1" s="1"/>
  <c r="K3087" i="27"/>
  <c r="K3091" i="27" s="1"/>
  <c r="K3079" i="27"/>
  <c r="D697" i="25"/>
  <c r="F697" i="25" s="1"/>
  <c r="F661" i="25"/>
  <c r="V3156" i="1"/>
  <c r="X3131" i="1"/>
  <c r="X3141" i="1" s="1"/>
  <c r="X3143" i="1" s="1"/>
  <c r="C437" i="55"/>
  <c r="C697" i="55"/>
  <c r="F40" i="71" s="1"/>
  <c r="C297" i="55"/>
  <c r="C622" i="55"/>
  <c r="V3635" i="1"/>
  <c r="X3635" i="1" s="1"/>
  <c r="R1112" i="1"/>
  <c r="R1113" i="1"/>
  <c r="V3636" i="1"/>
  <c r="X3636" i="1" s="1"/>
  <c r="C1465" i="55"/>
  <c r="K2283" i="1"/>
  <c r="F583" i="25"/>
  <c r="F593" i="25" s="1"/>
  <c r="F595" i="25" s="1"/>
  <c r="C874" i="55" s="1"/>
  <c r="D618" i="25"/>
  <c r="C539" i="55"/>
  <c r="AS100" i="1"/>
  <c r="AS101" i="1" s="1"/>
  <c r="AU99" i="1"/>
  <c r="AV99" i="1" s="1"/>
  <c r="I1720" i="1"/>
  <c r="K1720" i="1" s="1"/>
  <c r="K1725" i="1" s="1"/>
  <c r="K1727" i="1" s="1"/>
  <c r="I2383" i="1"/>
  <c r="I1731" i="1"/>
  <c r="K1731" i="1" s="1"/>
  <c r="K1734" i="1" s="1"/>
  <c r="K1736" i="1" s="1"/>
  <c r="I1741" i="1" s="1"/>
  <c r="K1741" i="1" s="1"/>
  <c r="K1744" i="1" s="1"/>
  <c r="K1746" i="1" s="1"/>
  <c r="C369" i="55" s="1"/>
  <c r="K402" i="1"/>
  <c r="C167" i="55"/>
  <c r="P3461" i="1"/>
  <c r="R3461" i="1" s="1"/>
  <c r="R3474" i="1" s="1"/>
  <c r="R3476" i="1" s="1"/>
  <c r="I3822" i="1"/>
  <c r="K3822" i="1" s="1"/>
  <c r="K3835" i="1" s="1"/>
  <c r="K3837" i="1" s="1"/>
  <c r="C923" i="55" s="1"/>
  <c r="K3455" i="1"/>
  <c r="K3468" i="1" s="1"/>
  <c r="K3470" i="1" s="1"/>
  <c r="I629" i="1"/>
  <c r="K629" i="1" s="1"/>
  <c r="C642" i="55"/>
  <c r="V196" i="1"/>
  <c r="X196" i="1" s="1"/>
  <c r="X202" i="1" s="1"/>
  <c r="X204" i="1" s="1"/>
  <c r="C592" i="55" s="1"/>
  <c r="R196" i="1"/>
  <c r="R202" i="1" s="1"/>
  <c r="R204" i="1" s="1"/>
  <c r="C590" i="55" s="1"/>
  <c r="L519" i="1"/>
  <c r="K520" i="1"/>
  <c r="K521" i="1" s="1"/>
  <c r="K522" i="1" s="1"/>
  <c r="AS75" i="1"/>
  <c r="AS76" i="1" s="1"/>
  <c r="AS77" i="1" s="1"/>
  <c r="AS78" i="1" s="1"/>
  <c r="AS79" i="1" s="1"/>
  <c r="C537" i="55"/>
  <c r="K1392" i="1"/>
  <c r="K1398" i="1" s="1"/>
  <c r="K1400" i="1" s="1"/>
  <c r="K1271" i="1"/>
  <c r="K1276" i="1" s="1"/>
  <c r="K1278" i="1" s="1"/>
  <c r="I1285" i="1"/>
  <c r="K1285" i="1" s="1"/>
  <c r="K1290" i="1" s="1"/>
  <c r="K1292" i="1" s="1"/>
  <c r="C747" i="55" s="1"/>
  <c r="AB1264" i="1"/>
  <c r="AD1264" i="1" s="1"/>
  <c r="AD1269" i="1" s="1"/>
  <c r="AD1271" i="1" s="1"/>
  <c r="AE365" i="1"/>
  <c r="AG365" i="1" s="1"/>
  <c r="AG372" i="1" s="1"/>
  <c r="AG374" i="1" s="1"/>
  <c r="AG376" i="1" s="1"/>
  <c r="AG377" i="1" s="1"/>
  <c r="X356" i="1"/>
  <c r="X363" i="1" s="1"/>
  <c r="X365" i="1" s="1"/>
  <c r="R1333" i="1"/>
  <c r="R1338" i="1" s="1"/>
  <c r="R1340" i="1" s="1"/>
  <c r="R1341" i="1" s="1"/>
  <c r="R1342" i="1" s="1"/>
  <c r="R1343" i="1" s="1"/>
  <c r="R1344" i="1" s="1"/>
  <c r="R1345" i="1" s="1"/>
  <c r="Q1341" i="1" s="1"/>
  <c r="Q1342" i="1" s="1"/>
  <c r="AB1189" i="1"/>
  <c r="V1332" i="1"/>
  <c r="X1332" i="1" s="1"/>
  <c r="V1299" i="1"/>
  <c r="P1373" i="1"/>
  <c r="R1373" i="1" s="1"/>
  <c r="R1386" i="1" s="1"/>
  <c r="R1388" i="1" s="1"/>
  <c r="K1440" i="1"/>
  <c r="K1442" i="1" s="1"/>
  <c r="L1412" i="1"/>
  <c r="P2431" i="1"/>
  <c r="R2431" i="1" s="1"/>
  <c r="R2440" i="1" s="1"/>
  <c r="R2442" i="1" s="1"/>
  <c r="C1430" i="55" s="1"/>
  <c r="K2424" i="1"/>
  <c r="K2433" i="1" s="1"/>
  <c r="K2435" i="1" s="1"/>
  <c r="AG312" i="1"/>
  <c r="AG319" i="1" s="1"/>
  <c r="AG321" i="1" s="1"/>
  <c r="V677" i="1"/>
  <c r="D43" i="32"/>
  <c r="X707" i="1"/>
  <c r="C1458" i="55"/>
  <c r="C589" i="55"/>
  <c r="K368" i="1"/>
  <c r="J367" i="1"/>
  <c r="C218" i="55"/>
  <c r="K469" i="1"/>
  <c r="K1249" i="1"/>
  <c r="K1262" i="1" s="1"/>
  <c r="K1264" i="1" s="1"/>
  <c r="V1278" i="1"/>
  <c r="X1278" i="1" s="1"/>
  <c r="X1291" i="1" s="1"/>
  <c r="X1293" i="1" s="1"/>
  <c r="C746" i="55" s="1"/>
  <c r="I559" i="1"/>
  <c r="K559" i="1" s="1"/>
  <c r="C245" i="55"/>
  <c r="K435" i="1"/>
  <c r="C205" i="55"/>
  <c r="AF659" i="1"/>
  <c r="AF660" i="1" s="1"/>
  <c r="AF661" i="1" s="1"/>
  <c r="AF662" i="1" s="1"/>
  <c r="AF663" i="1" s="1"/>
  <c r="AF664" i="1" s="1"/>
  <c r="AB528" i="1"/>
  <c r="V411" i="1"/>
  <c r="X411" i="1" s="1"/>
  <c r="X418" i="1" s="1"/>
  <c r="X420" i="1" s="1"/>
  <c r="V426" i="1" s="1"/>
  <c r="X426" i="1" s="1"/>
  <c r="X430" i="1" s="1"/>
  <c r="X432" i="1" s="1"/>
  <c r="X434" i="1" s="1"/>
  <c r="X380" i="1"/>
  <c r="X387" i="1" s="1"/>
  <c r="X389" i="1" s="1"/>
  <c r="V394" i="1" s="1"/>
  <c r="X394" i="1" s="1"/>
  <c r="X398" i="1" s="1"/>
  <c r="X400" i="1" s="1"/>
  <c r="AE389" i="1"/>
  <c r="V336" i="1"/>
  <c r="K336" i="1"/>
  <c r="K343" i="1" s="1"/>
  <c r="K345" i="1" s="1"/>
  <c r="K347" i="1" s="1"/>
  <c r="K1220" i="1"/>
  <c r="K1238" i="1" s="1"/>
  <c r="K1241" i="1" s="1"/>
  <c r="P1216" i="1"/>
  <c r="P655" i="1"/>
  <c r="R655" i="1" s="1"/>
  <c r="R672" i="1" s="1"/>
  <c r="P598" i="1"/>
  <c r="R598" i="1" s="1"/>
  <c r="P612" i="1"/>
  <c r="R612" i="1" s="1"/>
  <c r="C232" i="55"/>
  <c r="I536" i="1"/>
  <c r="K536" i="1" s="1"/>
  <c r="K196" i="1"/>
  <c r="C55" i="55"/>
  <c r="X323" i="1"/>
  <c r="X659" i="1"/>
  <c r="X660" i="1" s="1"/>
  <c r="X661" i="1" s="1"/>
  <c r="X662" i="1" s="1"/>
  <c r="X663" i="1" s="1"/>
  <c r="X664" i="1" s="1"/>
  <c r="V528" i="1"/>
  <c r="I2927" i="1"/>
  <c r="K2927" i="1" s="1"/>
  <c r="K2930" i="1" s="1"/>
  <c r="K2931" i="1" s="1"/>
  <c r="C576" i="55" s="1"/>
  <c r="K2914" i="1"/>
  <c r="C572" i="55"/>
  <c r="K1971" i="1"/>
  <c r="K1977" i="1" s="1"/>
  <c r="P1971" i="1"/>
  <c r="H41" i="32"/>
  <c r="R1184" i="1"/>
  <c r="C519" i="55"/>
  <c r="I649" i="1"/>
  <c r="K649" i="1" s="1"/>
  <c r="K655" i="1" s="1"/>
  <c r="K657" i="1" s="1"/>
  <c r="I659" i="1" s="1"/>
  <c r="K659" i="1" s="1"/>
  <c r="P613" i="1"/>
  <c r="R613" i="1" s="1"/>
  <c r="P630" i="1"/>
  <c r="R630" i="1" s="1"/>
  <c r="P599" i="1"/>
  <c r="R599" i="1" s="1"/>
  <c r="K195" i="1"/>
  <c r="P163" i="1"/>
  <c r="R163" i="1" s="1"/>
  <c r="R170" i="1" s="1"/>
  <c r="R172" i="1" s="1"/>
  <c r="F41" i="50"/>
  <c r="D104" i="50"/>
  <c r="F104" i="50" s="1"/>
  <c r="K823" i="1"/>
  <c r="I3920" i="1"/>
  <c r="C53" i="55"/>
  <c r="K287" i="1"/>
  <c r="C52" i="55"/>
  <c r="S1159" i="1"/>
  <c r="C522" i="55"/>
  <c r="R1158" i="1"/>
  <c r="C1446" i="55"/>
  <c r="C914" i="55"/>
  <c r="C1493" i="55"/>
  <c r="P297" i="11"/>
  <c r="R297" i="11" s="1"/>
  <c r="R301" i="11" s="1"/>
  <c r="R283" i="11"/>
  <c r="R287" i="11" s="1"/>
  <c r="AI246" i="11"/>
  <c r="AG247" i="11"/>
  <c r="AI247" i="11" s="1"/>
  <c r="AI248" i="11" s="1"/>
  <c r="K1026" i="11"/>
  <c r="K1018" i="11"/>
  <c r="K288" i="11"/>
  <c r="C1466" i="55" s="1"/>
  <c r="L289" i="11"/>
  <c r="AQ148" i="1"/>
  <c r="AS148" i="1" s="1"/>
  <c r="AQ165" i="1"/>
  <c r="AS134" i="1"/>
  <c r="M569" i="11"/>
  <c r="P568" i="11" s="1"/>
  <c r="M3396" i="27"/>
  <c r="M3400" i="27" s="1"/>
  <c r="N566" i="11"/>
  <c r="K797" i="11"/>
  <c r="I784" i="11" s="1"/>
  <c r="I846" i="11"/>
  <c r="K846" i="11" s="1"/>
  <c r="C262" i="55"/>
  <c r="C664" i="55"/>
  <c r="I595" i="1"/>
  <c r="K595" i="1" s="1"/>
  <c r="I596" i="1" s="1"/>
  <c r="K596" i="1" s="1"/>
  <c r="I597" i="1" s="1"/>
  <c r="K597" i="1" s="1"/>
  <c r="I598" i="1" s="1"/>
  <c r="K598" i="1" s="1"/>
  <c r="I599" i="1" s="1"/>
  <c r="K599" i="1" s="1"/>
  <c r="C652" i="55"/>
  <c r="K602" i="1"/>
  <c r="C256" i="55"/>
  <c r="M588" i="11"/>
  <c r="N585" i="11"/>
  <c r="AU109" i="1"/>
  <c r="AV109" i="1" s="1"/>
  <c r="AS115" i="1"/>
  <c r="L3415" i="27"/>
  <c r="L3419" i="27" s="1"/>
  <c r="L3400" i="27"/>
  <c r="K1151" i="11"/>
  <c r="K1143" i="11"/>
  <c r="K1144" i="11" s="1"/>
  <c r="C698" i="55"/>
  <c r="F41" i="71" s="1"/>
  <c r="F623" i="25"/>
  <c r="D659" i="25"/>
  <c r="R247" i="11"/>
  <c r="S248" i="11"/>
  <c r="S250" i="11"/>
  <c r="V247" i="11"/>
  <c r="V248" i="11" s="1"/>
  <c r="V249" i="11" s="1"/>
  <c r="T247" i="11"/>
  <c r="C1500" i="55"/>
  <c r="L1131" i="11"/>
  <c r="AG3560" i="1" l="1"/>
  <c r="AG3564" i="1" s="1"/>
  <c r="AG3565" i="1" s="1"/>
  <c r="V3623" i="1"/>
  <c r="X3560" i="1"/>
  <c r="X3564" i="1" s="1"/>
  <c r="X3565" i="1" s="1"/>
  <c r="C812" i="55" s="1"/>
  <c r="V3576" i="1"/>
  <c r="F15" i="71"/>
  <c r="D12" i="71"/>
  <c r="F12" i="71" s="1"/>
  <c r="I1377" i="1"/>
  <c r="K1377" i="1" s="1"/>
  <c r="K1385" i="1" s="1"/>
  <c r="K1387" i="1" s="1"/>
  <c r="I1355" i="1"/>
  <c r="K1355" i="1" s="1"/>
  <c r="L1337" i="1" s="1"/>
  <c r="P1991" i="1"/>
  <c r="C540" i="55"/>
  <c r="R1971" i="1"/>
  <c r="R1978" i="1" s="1"/>
  <c r="C869" i="55" s="1"/>
  <c r="F28" i="71" s="1"/>
  <c r="K631" i="27"/>
  <c r="K632" i="27" s="1"/>
  <c r="K633" i="27" s="1"/>
  <c r="K634" i="27" s="1"/>
  <c r="I2616" i="27"/>
  <c r="K2616" i="27" s="1"/>
  <c r="P624" i="1"/>
  <c r="R624" i="1" s="1"/>
  <c r="K323" i="1"/>
  <c r="P625" i="1"/>
  <c r="R625" i="1" s="1"/>
  <c r="X3645" i="1"/>
  <c r="X3647" i="1" s="1"/>
  <c r="C396" i="55"/>
  <c r="K2383" i="1"/>
  <c r="K2390" i="1" s="1"/>
  <c r="K2392" i="1" s="1"/>
  <c r="C674" i="55" s="1"/>
  <c r="AU203" i="1"/>
  <c r="AV203" i="1" s="1"/>
  <c r="AR203" i="1"/>
  <c r="AS204" i="1"/>
  <c r="K202" i="1"/>
  <c r="K204" i="1" s="1"/>
  <c r="C45" i="55" s="1"/>
  <c r="P3114" i="27"/>
  <c r="K3114" i="27"/>
  <c r="K3118" i="27" s="1"/>
  <c r="W544" i="1"/>
  <c r="AC544" i="1" s="1"/>
  <c r="AJ544" i="1" s="1"/>
  <c r="J545" i="1"/>
  <c r="F133" i="25"/>
  <c r="D134" i="25"/>
  <c r="D299" i="25"/>
  <c r="F299" i="25" s="1"/>
  <c r="K3092" i="27"/>
  <c r="L3093" i="27"/>
  <c r="L3081" i="27"/>
  <c r="K3080" i="27"/>
  <c r="K2205" i="27" s="1"/>
  <c r="K3105" i="27"/>
  <c r="K2206" i="27" s="1"/>
  <c r="L3106" i="27"/>
  <c r="AU100" i="1"/>
  <c r="AV100" i="1" s="1"/>
  <c r="C438" i="55"/>
  <c r="C696" i="55"/>
  <c r="F618" i="25"/>
  <c r="F628" i="25" s="1"/>
  <c r="F630" i="25" s="1"/>
  <c r="C876" i="55" s="1"/>
  <c r="D654" i="25"/>
  <c r="X3156" i="1"/>
  <c r="X3166" i="1" s="1"/>
  <c r="X3168" i="1" s="1"/>
  <c r="C879" i="55" s="1"/>
  <c r="R1122" i="1"/>
  <c r="R1124" i="1" s="1"/>
  <c r="C1435" i="55" s="1"/>
  <c r="I2936" i="1"/>
  <c r="K2936" i="1" s="1"/>
  <c r="K2939" i="1" s="1"/>
  <c r="K2940" i="1" s="1"/>
  <c r="C577" i="55" s="1"/>
  <c r="K2915" i="1"/>
  <c r="C573" i="55"/>
  <c r="Y323" i="1"/>
  <c r="X324" i="1"/>
  <c r="C233" i="55"/>
  <c r="I537" i="1"/>
  <c r="K537" i="1" s="1"/>
  <c r="P1258" i="1"/>
  <c r="R1216" i="1"/>
  <c r="AQ389" i="1"/>
  <c r="AS389" i="1" s="1"/>
  <c r="AS396" i="1" s="1"/>
  <c r="AS398" i="1" s="1"/>
  <c r="AS400" i="1" s="1"/>
  <c r="AS401" i="1" s="1"/>
  <c r="AS402" i="1" s="1"/>
  <c r="AS403" i="1" s="1"/>
  <c r="AS404" i="1" s="1"/>
  <c r="AS405" i="1" s="1"/>
  <c r="AS406" i="1" s="1"/>
  <c r="AG389" i="1"/>
  <c r="AG396" i="1" s="1"/>
  <c r="AG398" i="1" s="1"/>
  <c r="AE403" i="1" s="1"/>
  <c r="AG403" i="1" s="1"/>
  <c r="AG407" i="1" s="1"/>
  <c r="AG409" i="1" s="1"/>
  <c r="AE425" i="1"/>
  <c r="AG425" i="1" s="1"/>
  <c r="AG432" i="1" s="1"/>
  <c r="AG434" i="1" s="1"/>
  <c r="AE440" i="1" s="1"/>
  <c r="AG440" i="1" s="1"/>
  <c r="AG444" i="1" s="1"/>
  <c r="AG446" i="1" s="1"/>
  <c r="AG448" i="1" s="1"/>
  <c r="K436" i="1"/>
  <c r="C206" i="55"/>
  <c r="C667" i="55"/>
  <c r="C333" i="55"/>
  <c r="C666" i="55"/>
  <c r="L368" i="1"/>
  <c r="J368" i="1"/>
  <c r="C563" i="55"/>
  <c r="K369" i="1"/>
  <c r="L369" i="1" s="1"/>
  <c r="P597" i="1"/>
  <c r="AG323" i="1"/>
  <c r="C56" i="55"/>
  <c r="AG378" i="1"/>
  <c r="AH368" i="1"/>
  <c r="C735" i="55"/>
  <c r="C733" i="55"/>
  <c r="C341" i="55"/>
  <c r="P628" i="1"/>
  <c r="R628" i="1" s="1"/>
  <c r="C643" i="55"/>
  <c r="I630" i="1"/>
  <c r="K630" i="1" s="1"/>
  <c r="X1345" i="1"/>
  <c r="X1347" i="1" s="1"/>
  <c r="C856" i="55" s="1"/>
  <c r="AE336" i="1"/>
  <c r="AG336" i="1" s="1"/>
  <c r="AG343" i="1" s="1"/>
  <c r="AG345" i="1" s="1"/>
  <c r="AG347" i="1" s="1"/>
  <c r="X336" i="1"/>
  <c r="X343" i="1" s="1"/>
  <c r="X345" i="1" s="1"/>
  <c r="X347" i="1" s="1"/>
  <c r="V763" i="1"/>
  <c r="X763" i="1" s="1"/>
  <c r="X769" i="1" s="1"/>
  <c r="X770" i="1" s="1"/>
  <c r="X772" i="1" s="1"/>
  <c r="X773" i="1" s="1"/>
  <c r="X774" i="1" s="1"/>
  <c r="X776" i="1" s="1"/>
  <c r="X777" i="1" s="1"/>
  <c r="X778" i="1" s="1"/>
  <c r="X779" i="1" s="1"/>
  <c r="X780" i="1" s="1"/>
  <c r="X781" i="1" s="1"/>
  <c r="X782" i="1" s="1"/>
  <c r="X783" i="1" s="1"/>
  <c r="D43" i="50"/>
  <c r="X677" i="1"/>
  <c r="X683" i="1" s="1"/>
  <c r="X684" i="1" s="1"/>
  <c r="V731" i="1"/>
  <c r="X731" i="1" s="1"/>
  <c r="X737" i="1" s="1"/>
  <c r="X738" i="1" s="1"/>
  <c r="C858" i="55"/>
  <c r="X1299" i="1"/>
  <c r="X1306" i="1" s="1"/>
  <c r="X1308" i="1" s="1"/>
  <c r="X1309" i="1" s="1"/>
  <c r="X1310" i="1" s="1"/>
  <c r="X1311" i="1" s="1"/>
  <c r="X1312" i="1" s="1"/>
  <c r="X1313" i="1" s="1"/>
  <c r="W1309" i="1" s="1"/>
  <c r="W1310" i="1" s="1"/>
  <c r="V1319" i="1"/>
  <c r="X1319" i="1" s="1"/>
  <c r="X1326" i="1" s="1"/>
  <c r="X1328" i="1" s="1"/>
  <c r="X367" i="1"/>
  <c r="C387" i="55"/>
  <c r="C679" i="55"/>
  <c r="X528" i="1"/>
  <c r="X533" i="1" s="1"/>
  <c r="X535" i="1" s="1"/>
  <c r="V537" i="1" s="1"/>
  <c r="X537" i="1" s="1"/>
  <c r="V538" i="1" s="1"/>
  <c r="X538" i="1" s="1"/>
  <c r="V539" i="1" s="1"/>
  <c r="X539" i="1" s="1"/>
  <c r="V540" i="1" s="1"/>
  <c r="X540" i="1" s="1"/>
  <c r="V541" i="1" s="1"/>
  <c r="X541" i="1" s="1"/>
  <c r="V542" i="1" s="1"/>
  <c r="X542" i="1" s="1"/>
  <c r="V543" i="1" s="1"/>
  <c r="X543" i="1" s="1"/>
  <c r="V544" i="1" s="1"/>
  <c r="V552" i="1"/>
  <c r="X552" i="1" s="1"/>
  <c r="X557" i="1" s="1"/>
  <c r="X559" i="1" s="1"/>
  <c r="V561" i="1" s="1"/>
  <c r="X561" i="1" s="1"/>
  <c r="V562" i="1" s="1"/>
  <c r="X562" i="1" s="1"/>
  <c r="V563" i="1" s="1"/>
  <c r="X563" i="1" s="1"/>
  <c r="V564" i="1" s="1"/>
  <c r="X564" i="1" s="1"/>
  <c r="V565" i="1" s="1"/>
  <c r="X565" i="1" s="1"/>
  <c r="L347" i="1"/>
  <c r="C118" i="55"/>
  <c r="K348" i="1"/>
  <c r="C181" i="55"/>
  <c r="X435" i="1"/>
  <c r="C246" i="55"/>
  <c r="I560" i="1"/>
  <c r="K560" i="1" s="1"/>
  <c r="D106" i="32"/>
  <c r="F106" i="32" s="1"/>
  <c r="F112" i="32" s="1"/>
  <c r="F113" i="32" s="1"/>
  <c r="F43" i="32"/>
  <c r="C1427" i="55"/>
  <c r="C736" i="55"/>
  <c r="C665" i="55"/>
  <c r="C334" i="55"/>
  <c r="F55" i="71" s="1"/>
  <c r="C332" i="55"/>
  <c r="P284" i="1"/>
  <c r="R284" i="1" s="1"/>
  <c r="R289" i="1" s="1"/>
  <c r="R291" i="1" s="1"/>
  <c r="X402" i="1"/>
  <c r="C130" i="55"/>
  <c r="AB552" i="1"/>
  <c r="AD528" i="1"/>
  <c r="AD533" i="1" s="1"/>
  <c r="AD535" i="1" s="1"/>
  <c r="AB537" i="1" s="1"/>
  <c r="AD537" i="1" s="1"/>
  <c r="K470" i="1"/>
  <c r="C219" i="55"/>
  <c r="Z707" i="1"/>
  <c r="X713" i="1"/>
  <c r="I1989" i="1"/>
  <c r="C1432" i="55"/>
  <c r="C561" i="55"/>
  <c r="AD1189" i="1"/>
  <c r="AD1194" i="1" s="1"/>
  <c r="AD1196" i="1" s="1"/>
  <c r="AD1197" i="1" s="1"/>
  <c r="AI1189" i="1"/>
  <c r="AK1189" i="1" s="1"/>
  <c r="AK1194" i="1" s="1"/>
  <c r="AK1196" i="1" s="1"/>
  <c r="AK1197" i="1" s="1"/>
  <c r="K324" i="1"/>
  <c r="L323" i="1"/>
  <c r="J402" i="1"/>
  <c r="K403" i="1"/>
  <c r="C168" i="55"/>
  <c r="C65" i="55"/>
  <c r="K288" i="1"/>
  <c r="K824" i="1"/>
  <c r="C71" i="55"/>
  <c r="R1185" i="1"/>
  <c r="R1186" i="1" s="1"/>
  <c r="C520" i="55"/>
  <c r="C523" i="55"/>
  <c r="R1159" i="1"/>
  <c r="K3920" i="1"/>
  <c r="K3932" i="1" s="1"/>
  <c r="C934" i="55" s="1"/>
  <c r="I3938" i="1"/>
  <c r="C264" i="55"/>
  <c r="I660" i="1"/>
  <c r="K660" i="1" s="1"/>
  <c r="K1172" i="11"/>
  <c r="K1155" i="11"/>
  <c r="N3396" i="27"/>
  <c r="N3400" i="27" s="1"/>
  <c r="O566" i="11"/>
  <c r="N569" i="11"/>
  <c r="AS165" i="1"/>
  <c r="AQ180" i="1"/>
  <c r="AS180" i="1" s="1"/>
  <c r="R288" i="11"/>
  <c r="C700" i="55" s="1"/>
  <c r="S289" i="11"/>
  <c r="AU115" i="1"/>
  <c r="AV115" i="1" s="1"/>
  <c r="AS117" i="1"/>
  <c r="AU134" i="1"/>
  <c r="AV134" i="1" s="1"/>
  <c r="AS140" i="1"/>
  <c r="K1050" i="11"/>
  <c r="K1034" i="11"/>
  <c r="O585" i="11"/>
  <c r="O588" i="11" s="1"/>
  <c r="N588" i="11"/>
  <c r="I815" i="11"/>
  <c r="K815" i="11" s="1"/>
  <c r="K819" i="11" s="1"/>
  <c r="L819" i="11" s="1"/>
  <c r="K784" i="11"/>
  <c r="K788" i="11" s="1"/>
  <c r="I3614" i="27"/>
  <c r="L1020" i="11"/>
  <c r="L1018" i="11"/>
  <c r="K1019" i="11"/>
  <c r="AU101" i="1"/>
  <c r="AV101" i="1" s="1"/>
  <c r="C541" i="55"/>
  <c r="AS102" i="1"/>
  <c r="C720" i="55"/>
  <c r="F659" i="25"/>
  <c r="D695" i="25"/>
  <c r="F695" i="25" s="1"/>
  <c r="I832" i="11"/>
  <c r="I842" i="11"/>
  <c r="K842" i="11" s="1"/>
  <c r="C1488" i="55"/>
  <c r="AU148" i="1"/>
  <c r="AV148" i="1" s="1"/>
  <c r="R302" i="11"/>
  <c r="C701" i="55" s="1"/>
  <c r="S303" i="11"/>
  <c r="X3623" i="1" l="1"/>
  <c r="X3627" i="1" s="1"/>
  <c r="X3628" i="1" s="1"/>
  <c r="C814" i="55" s="1"/>
  <c r="AB3623" i="1"/>
  <c r="AD3623" i="1" s="1"/>
  <c r="AD3628" i="1" s="1"/>
  <c r="AD3629" i="1" s="1"/>
  <c r="C818" i="55" s="1"/>
  <c r="V3591" i="1"/>
  <c r="X3576" i="1"/>
  <c r="X3580" i="1" s="1"/>
  <c r="X3581" i="1" s="1"/>
  <c r="C811" i="55" s="1"/>
  <c r="X544" i="1"/>
  <c r="V545" i="1" s="1"/>
  <c r="D16" i="71"/>
  <c r="F16" i="71" s="1"/>
  <c r="F18" i="71"/>
  <c r="D19" i="71"/>
  <c r="F19" i="71" s="1"/>
  <c r="F14" i="71"/>
  <c r="D11" i="71"/>
  <c r="F11" i="71" s="1"/>
  <c r="D17" i="71"/>
  <c r="F17" i="71" s="1"/>
  <c r="L1335" i="1"/>
  <c r="R1991" i="1"/>
  <c r="R634" i="1"/>
  <c r="K1363" i="1"/>
  <c r="K1365" i="1" s="1"/>
  <c r="C339" i="55" s="1"/>
  <c r="K1056" i="11"/>
  <c r="AD552" i="1"/>
  <c r="AD557" i="1" s="1"/>
  <c r="AD559" i="1" s="1"/>
  <c r="P2347" i="1" s="1"/>
  <c r="R2347" i="1" s="1"/>
  <c r="R2350" i="1" s="1"/>
  <c r="C708" i="55" s="1"/>
  <c r="AR204" i="1"/>
  <c r="AS205" i="1"/>
  <c r="AU204" i="1"/>
  <c r="AV204" i="1" s="1"/>
  <c r="C323" i="55"/>
  <c r="I1781" i="1"/>
  <c r="K1781" i="1" s="1"/>
  <c r="K1790" i="1" s="1"/>
  <c r="C372" i="55" s="1"/>
  <c r="J546" i="1"/>
  <c r="W545" i="1"/>
  <c r="AC545" i="1" s="1"/>
  <c r="AJ545" i="1" s="1"/>
  <c r="D300" i="25"/>
  <c r="F300" i="25" s="1"/>
  <c r="D135" i="25"/>
  <c r="F134" i="25"/>
  <c r="L3120" i="27"/>
  <c r="K3119" i="27"/>
  <c r="R3114" i="27"/>
  <c r="R3118" i="27" s="1"/>
  <c r="P3128" i="27"/>
  <c r="R3128" i="27" s="1"/>
  <c r="R3132" i="27" s="1"/>
  <c r="R3133" i="27" s="1"/>
  <c r="F654" i="25"/>
  <c r="F664" i="25" s="1"/>
  <c r="F666" i="25" s="1"/>
  <c r="C877" i="55" s="1"/>
  <c r="D690" i="25"/>
  <c r="F690" i="25" s="1"/>
  <c r="F700" i="25" s="1"/>
  <c r="F702" i="25" s="1"/>
  <c r="C878" i="55" s="1"/>
  <c r="J372" i="1"/>
  <c r="AD1198" i="1"/>
  <c r="C821" i="55"/>
  <c r="X714" i="1"/>
  <c r="Z713" i="1"/>
  <c r="C471" i="55"/>
  <c r="AB538" i="1"/>
  <c r="AD538" i="1" s="1"/>
  <c r="G113" i="32"/>
  <c r="G115" i="32" s="1"/>
  <c r="G116" i="32" s="1"/>
  <c r="G117" i="32" s="1"/>
  <c r="F115" i="32"/>
  <c r="F116" i="32" s="1"/>
  <c r="F117" i="32" s="1"/>
  <c r="Y684" i="1"/>
  <c r="Y686" i="1" s="1"/>
  <c r="Y687" i="1" s="1"/>
  <c r="Y688" i="1" s="1"/>
  <c r="X686" i="1"/>
  <c r="X687" i="1" s="1"/>
  <c r="X688" i="1" s="1"/>
  <c r="X348" i="1"/>
  <c r="C85" i="55"/>
  <c r="C857" i="55"/>
  <c r="P611" i="1"/>
  <c r="R611" i="1" s="1"/>
  <c r="R617" i="1" s="1"/>
  <c r="R597" i="1"/>
  <c r="R603" i="1" s="1"/>
  <c r="J369" i="1"/>
  <c r="K370" i="1"/>
  <c r="C564" i="55"/>
  <c r="K437" i="1"/>
  <c r="C207" i="55"/>
  <c r="T1216" i="1"/>
  <c r="T1228" i="1" s="1"/>
  <c r="T1230" i="1" s="1"/>
  <c r="R1228" i="1"/>
  <c r="R1230" i="1" s="1"/>
  <c r="Y324" i="1"/>
  <c r="X325" i="1"/>
  <c r="X326" i="1" s="1"/>
  <c r="X327" i="1" s="1"/>
  <c r="C169" i="55"/>
  <c r="J403" i="1"/>
  <c r="K404" i="1"/>
  <c r="AK1198" i="1"/>
  <c r="C826" i="55"/>
  <c r="K1989" i="1"/>
  <c r="K1998" i="1" s="1"/>
  <c r="P1989" i="1"/>
  <c r="K471" i="1"/>
  <c r="L470" i="1"/>
  <c r="C220" i="55"/>
  <c r="C131" i="55"/>
  <c r="X403" i="1"/>
  <c r="H43" i="32"/>
  <c r="F49" i="32"/>
  <c r="C182" i="55"/>
  <c r="X436" i="1"/>
  <c r="X368" i="1"/>
  <c r="X369" i="1" s="1"/>
  <c r="X370" i="1" s="1"/>
  <c r="X371" i="1" s="1"/>
  <c r="X740" i="1"/>
  <c r="X741" i="1" s="1"/>
  <c r="X742" i="1" s="1"/>
  <c r="Y738" i="1"/>
  <c r="Y740" i="1" s="1"/>
  <c r="Y741" i="1" s="1"/>
  <c r="Y742" i="1" s="1"/>
  <c r="AI528" i="1" s="1"/>
  <c r="AH323" i="1"/>
  <c r="AG324" i="1"/>
  <c r="C574" i="55"/>
  <c r="I2946" i="1"/>
  <c r="K2946" i="1" s="1"/>
  <c r="K2949" i="1" s="1"/>
  <c r="K2950" i="1" s="1"/>
  <c r="C578" i="55" s="1"/>
  <c r="K2916" i="1"/>
  <c r="I2955" i="1" s="1"/>
  <c r="K2955" i="1" s="1"/>
  <c r="K2958" i="1" s="1"/>
  <c r="K2959" i="1" s="1"/>
  <c r="K325" i="1"/>
  <c r="L324" i="1"/>
  <c r="F43" i="50"/>
  <c r="F49" i="50" s="1"/>
  <c r="F50" i="50" s="1"/>
  <c r="D106" i="50"/>
  <c r="F106" i="50" s="1"/>
  <c r="F112" i="50" s="1"/>
  <c r="F113" i="50" s="1"/>
  <c r="C137" i="55"/>
  <c r="AG411" i="1"/>
  <c r="C234" i="55"/>
  <c r="I538" i="1"/>
  <c r="K538" i="1" s="1"/>
  <c r="I561" i="1"/>
  <c r="K561" i="1" s="1"/>
  <c r="C247" i="55"/>
  <c r="C119" i="55"/>
  <c r="K349" i="1"/>
  <c r="L348" i="1"/>
  <c r="C91" i="55"/>
  <c r="AG348" i="1"/>
  <c r="I631" i="1"/>
  <c r="K631" i="1" s="1"/>
  <c r="C644" i="55"/>
  <c r="AH369" i="1"/>
  <c r="AG379" i="1"/>
  <c r="C335" i="55"/>
  <c r="F54" i="71" s="1"/>
  <c r="AG449" i="1"/>
  <c r="C187" i="55"/>
  <c r="V1238" i="1"/>
  <c r="R1258" i="1"/>
  <c r="R1270" i="1" s="1"/>
  <c r="R1272" i="1" s="1"/>
  <c r="P1235" i="1"/>
  <c r="R1235" i="1" s="1"/>
  <c r="R1247" i="1" s="1"/>
  <c r="R1249" i="1" s="1"/>
  <c r="C737" i="55" s="1"/>
  <c r="K825" i="1"/>
  <c r="C72" i="55"/>
  <c r="I661" i="1"/>
  <c r="K661" i="1" s="1"/>
  <c r="C265" i="55"/>
  <c r="K289" i="1"/>
  <c r="C66" i="55"/>
  <c r="K3938" i="1"/>
  <c r="K3950" i="1" s="1"/>
  <c r="I3954" i="1"/>
  <c r="C524" i="55"/>
  <c r="R1160" i="1"/>
  <c r="C542" i="55"/>
  <c r="AS103" i="1"/>
  <c r="AS104" i="1" s="1"/>
  <c r="C544" i="55" s="1"/>
  <c r="AU102" i="1"/>
  <c r="AV102" i="1" s="1"/>
  <c r="AU140" i="1"/>
  <c r="AV140" i="1" s="1"/>
  <c r="AS142" i="1"/>
  <c r="K1187" i="11"/>
  <c r="K1191" i="11" s="1"/>
  <c r="K1192" i="11" s="1"/>
  <c r="K1176" i="11"/>
  <c r="K1177" i="11" s="1"/>
  <c r="C915" i="55"/>
  <c r="C1494" i="55"/>
  <c r="AU165" i="1"/>
  <c r="AV165" i="1" s="1"/>
  <c r="AS171" i="1"/>
  <c r="K1156" i="11"/>
  <c r="L1156" i="11" s="1"/>
  <c r="L1158" i="11"/>
  <c r="I805" i="11"/>
  <c r="L788" i="11"/>
  <c r="K1035" i="11"/>
  <c r="M1035" i="11"/>
  <c r="AU180" i="1"/>
  <c r="AV180" i="1" s="1"/>
  <c r="K832" i="11"/>
  <c r="K845" i="11" s="1"/>
  <c r="I3662" i="27"/>
  <c r="K3614" i="27"/>
  <c r="K3619" i="27" s="1"/>
  <c r="I3645" i="27"/>
  <c r="K3645" i="27" s="1"/>
  <c r="K3650" i="27" s="1"/>
  <c r="AS119" i="1"/>
  <c r="AU117" i="1"/>
  <c r="AV117" i="1" s="1"/>
  <c r="O569" i="11"/>
  <c r="O3396" i="27"/>
  <c r="O3400" i="27" s="1"/>
  <c r="V3608" i="1" l="1"/>
  <c r="X3608" i="1" s="1"/>
  <c r="X3612" i="1" s="1"/>
  <c r="X3613" i="1" s="1"/>
  <c r="C810" i="55" s="1"/>
  <c r="X3591" i="1"/>
  <c r="X3595" i="1" s="1"/>
  <c r="X3596" i="1" s="1"/>
  <c r="C809" i="55" s="1"/>
  <c r="D7" i="71"/>
  <c r="F7" i="71" s="1"/>
  <c r="F62" i="71" s="1"/>
  <c r="C477" i="55"/>
  <c r="AB561" i="1"/>
  <c r="AD561" i="1" s="1"/>
  <c r="AB562" i="1" s="1"/>
  <c r="AD562" i="1" s="1"/>
  <c r="K1057" i="11"/>
  <c r="L1058" i="11"/>
  <c r="R1989" i="1"/>
  <c r="R1999" i="1" s="1"/>
  <c r="C870" i="55" s="1"/>
  <c r="AS206" i="1"/>
  <c r="AU205" i="1"/>
  <c r="AV205" i="1" s="1"/>
  <c r="AR205" i="1"/>
  <c r="J547" i="1"/>
  <c r="W547" i="1" s="1"/>
  <c r="AC547" i="1" s="1"/>
  <c r="AJ547" i="1" s="1"/>
  <c r="W546" i="1"/>
  <c r="AC546" i="1" s="1"/>
  <c r="AJ546" i="1" s="1"/>
  <c r="R3119" i="27"/>
  <c r="S3119" i="27"/>
  <c r="D301" i="25"/>
  <c r="F301" i="25" s="1"/>
  <c r="F309" i="25" s="1"/>
  <c r="F310" i="25" s="1"/>
  <c r="C773" i="55" s="1"/>
  <c r="D158" i="25"/>
  <c r="F158" i="25" s="1"/>
  <c r="F166" i="25" s="1"/>
  <c r="F167" i="25" s="1"/>
  <c r="C775" i="55" s="1"/>
  <c r="F135" i="25"/>
  <c r="F144" i="25" s="1"/>
  <c r="F145" i="25" s="1"/>
  <c r="C774" i="55" s="1"/>
  <c r="X545" i="1"/>
  <c r="V546" i="1" s="1"/>
  <c r="Y367" i="1"/>
  <c r="Z367" i="1" s="1"/>
  <c r="Y368" i="1"/>
  <c r="C324" i="55" s="1"/>
  <c r="Y369" i="1"/>
  <c r="X372" i="1"/>
  <c r="C138" i="55"/>
  <c r="AG412" i="1"/>
  <c r="C505" i="55"/>
  <c r="X744" i="1"/>
  <c r="K371" i="1"/>
  <c r="C565" i="55"/>
  <c r="J370" i="1"/>
  <c r="K372" i="1"/>
  <c r="C328" i="55" s="1"/>
  <c r="E9" i="32"/>
  <c r="I2341" i="1"/>
  <c r="K2341" i="1" s="1"/>
  <c r="K2343" i="1" s="1"/>
  <c r="C854" i="55" s="1"/>
  <c r="E9" i="50"/>
  <c r="F9" i="50" s="1"/>
  <c r="F13" i="50" s="1"/>
  <c r="F14" i="50" s="1"/>
  <c r="C877" i="1"/>
  <c r="AB464" i="1"/>
  <c r="AD464" i="1" s="1"/>
  <c r="AD468" i="1" s="1"/>
  <c r="AD470" i="1" s="1"/>
  <c r="AB476" i="1" s="1"/>
  <c r="AD476" i="1" s="1"/>
  <c r="AD482" i="1" s="1"/>
  <c r="AD484" i="1" s="1"/>
  <c r="AB486" i="1" s="1"/>
  <c r="AD486" i="1" s="1"/>
  <c r="C822" i="55"/>
  <c r="AD1199" i="1"/>
  <c r="AB1242" i="1"/>
  <c r="X1238" i="1"/>
  <c r="X1250" i="1" s="1"/>
  <c r="X1252" i="1" s="1"/>
  <c r="AG380" i="1"/>
  <c r="AG381" i="1"/>
  <c r="C325" i="55" s="1"/>
  <c r="C92" i="55"/>
  <c r="AG349" i="1"/>
  <c r="C478" i="55"/>
  <c r="G50" i="50"/>
  <c r="G52" i="50" s="1"/>
  <c r="G53" i="50" s="1"/>
  <c r="G54" i="50" s="1"/>
  <c r="E73" i="50" s="1"/>
  <c r="F73" i="50" s="1"/>
  <c r="F77" i="50" s="1"/>
  <c r="F78" i="50" s="1"/>
  <c r="F81" i="50" s="1"/>
  <c r="C903" i="55" s="1"/>
  <c r="F52" i="50"/>
  <c r="F53" i="50" s="1"/>
  <c r="F54" i="50" s="1"/>
  <c r="F56" i="50" s="1"/>
  <c r="F58" i="50" s="1"/>
  <c r="F60" i="50" s="1"/>
  <c r="AI552" i="1"/>
  <c r="AK528" i="1"/>
  <c r="AK533" i="1" s="1"/>
  <c r="AK535" i="1" s="1"/>
  <c r="AI537" i="1" s="1"/>
  <c r="AK537" i="1" s="1"/>
  <c r="H49" i="32"/>
  <c r="F50" i="32"/>
  <c r="C680" i="55"/>
  <c r="C388" i="55"/>
  <c r="C739" i="55"/>
  <c r="S1230" i="1"/>
  <c r="C1428" i="55"/>
  <c r="I2789" i="1"/>
  <c r="K2789" i="1" s="1"/>
  <c r="K2796" i="1" s="1"/>
  <c r="K2798" i="1" s="1"/>
  <c r="C1459" i="55" s="1"/>
  <c r="C513" i="55"/>
  <c r="X690" i="1"/>
  <c r="C472" i="55"/>
  <c r="AB539" i="1"/>
  <c r="AD539" i="1" s="1"/>
  <c r="C1429" i="55"/>
  <c r="F51" i="71" s="1"/>
  <c r="C738" i="55"/>
  <c r="C645" i="55"/>
  <c r="I632" i="1"/>
  <c r="K632" i="1" s="1"/>
  <c r="C646" i="55" s="1"/>
  <c r="C120" i="55"/>
  <c r="L349" i="1"/>
  <c r="K350" i="1"/>
  <c r="C235" i="55"/>
  <c r="I539" i="1"/>
  <c r="K539" i="1" s="1"/>
  <c r="F115" i="50"/>
  <c r="F116" i="50" s="1"/>
  <c r="F117" i="50" s="1"/>
  <c r="G113" i="50"/>
  <c r="G115" i="50" s="1"/>
  <c r="G116" i="50" s="1"/>
  <c r="G117" i="50" s="1"/>
  <c r="E133" i="50" s="1"/>
  <c r="F133" i="50" s="1"/>
  <c r="F137" i="50" s="1"/>
  <c r="F138" i="50" s="1"/>
  <c r="F141" i="50" s="1"/>
  <c r="C904" i="55" s="1"/>
  <c r="C170" i="55"/>
  <c r="K405" i="1"/>
  <c r="C208" i="55"/>
  <c r="K438" i="1"/>
  <c r="C209" i="55" s="1"/>
  <c r="C86" i="55"/>
  <c r="X349" i="1"/>
  <c r="X716" i="1"/>
  <c r="X717" i="1" s="1"/>
  <c r="X718" i="1" s="1"/>
  <c r="Z714" i="1"/>
  <c r="Z716" i="1" s="1"/>
  <c r="Z717" i="1" s="1"/>
  <c r="Z718" i="1" s="1"/>
  <c r="P2106" i="1" s="1"/>
  <c r="R2106" i="1" s="1"/>
  <c r="R2109" i="1" s="1"/>
  <c r="AG450" i="1"/>
  <c r="C188" i="55"/>
  <c r="C248" i="55"/>
  <c r="I562" i="1"/>
  <c r="K562" i="1" s="1"/>
  <c r="K326" i="1"/>
  <c r="K327" i="1" s="1"/>
  <c r="M325" i="1"/>
  <c r="AH325" i="1"/>
  <c r="AH324" i="1"/>
  <c r="AG325" i="1"/>
  <c r="AG326" i="1" s="1"/>
  <c r="AG327" i="1" s="1"/>
  <c r="X437" i="1"/>
  <c r="C183" i="55"/>
  <c r="C132" i="55"/>
  <c r="X404" i="1"/>
  <c r="C221" i="55"/>
  <c r="L471" i="1"/>
  <c r="K472" i="1"/>
  <c r="AK1199" i="1"/>
  <c r="C827" i="55"/>
  <c r="I662" i="1"/>
  <c r="K662" i="1" s="1"/>
  <c r="C266" i="55"/>
  <c r="C525" i="55"/>
  <c r="R1161" i="1"/>
  <c r="C931" i="55"/>
  <c r="L3950" i="1"/>
  <c r="C67" i="55"/>
  <c r="K290" i="1"/>
  <c r="K826" i="1"/>
  <c r="C73" i="55"/>
  <c r="K3954" i="1"/>
  <c r="K3966" i="1" s="1"/>
  <c r="C933" i="55" s="1"/>
  <c r="I3971" i="1"/>
  <c r="K3971" i="1" s="1"/>
  <c r="K3983" i="1" s="1"/>
  <c r="C932" i="55" s="1"/>
  <c r="AU119" i="1"/>
  <c r="AV119" i="1" s="1"/>
  <c r="AS120" i="1"/>
  <c r="AT119" i="1"/>
  <c r="L3619" i="27"/>
  <c r="I3636" i="27"/>
  <c r="K3636" i="27" s="1"/>
  <c r="K805" i="11"/>
  <c r="K807" i="11" s="1"/>
  <c r="I3635" i="27"/>
  <c r="K3635" i="27" s="1"/>
  <c r="AU171" i="1"/>
  <c r="AV171" i="1" s="1"/>
  <c r="AS173" i="1"/>
  <c r="I3669" i="27"/>
  <c r="K3669" i="27" s="1"/>
  <c r="K3662" i="27"/>
  <c r="C1495" i="55"/>
  <c r="C916" i="55"/>
  <c r="K1059" i="11"/>
  <c r="AU103" i="1"/>
  <c r="AV103" i="1" s="1"/>
  <c r="C543" i="55"/>
  <c r="AQ147" i="1"/>
  <c r="AU142" i="1"/>
  <c r="AV142" i="1" s="1"/>
  <c r="F65" i="71" l="1"/>
  <c r="F63" i="71"/>
  <c r="F64" i="71" s="1"/>
  <c r="F66" i="71" s="1"/>
  <c r="F67" i="71" s="1"/>
  <c r="F68" i="71" s="1"/>
  <c r="H70" i="71" s="1"/>
  <c r="C919" i="55"/>
  <c r="C1496" i="55"/>
  <c r="AK552" i="1"/>
  <c r="AK557" i="1" s="1"/>
  <c r="AK559" i="1" s="1"/>
  <c r="C464" i="55" s="1"/>
  <c r="AU206" i="1"/>
  <c r="AV206" i="1" s="1"/>
  <c r="AR206" i="1"/>
  <c r="AS207" i="1"/>
  <c r="X546" i="1"/>
  <c r="V547" i="1" s="1"/>
  <c r="X547" i="1" s="1"/>
  <c r="V548" i="1" s="1"/>
  <c r="X548" i="1" s="1"/>
  <c r="V549" i="1" s="1"/>
  <c r="X549" i="1" s="1"/>
  <c r="L807" i="11"/>
  <c r="K2289" i="1"/>
  <c r="C448" i="55" s="1"/>
  <c r="F17" i="50"/>
  <c r="C902" i="55" s="1"/>
  <c r="X720" i="1"/>
  <c r="C497" i="55"/>
  <c r="C514" i="55"/>
  <c r="X691" i="1"/>
  <c r="F52" i="32"/>
  <c r="F53" i="32" s="1"/>
  <c r="F54" i="32" s="1"/>
  <c r="F56" i="32" s="1"/>
  <c r="F58" i="32" s="1"/>
  <c r="F60" i="32" s="1"/>
  <c r="H50" i="32"/>
  <c r="H52" i="32" s="1"/>
  <c r="H53" i="32" s="1"/>
  <c r="H54" i="32" s="1"/>
  <c r="AG350" i="1"/>
  <c r="C93" i="55"/>
  <c r="C484" i="55"/>
  <c r="AB487" i="1"/>
  <c r="AD487" i="1" s="1"/>
  <c r="E173" i="32"/>
  <c r="E211" i="32" s="1"/>
  <c r="F9" i="32"/>
  <c r="F13" i="32" s="1"/>
  <c r="F14" i="32" s="1"/>
  <c r="F17" i="32" s="1"/>
  <c r="E73" i="32"/>
  <c r="J371" i="1"/>
  <c r="C566" i="55"/>
  <c r="L472" i="1"/>
  <c r="K473" i="1"/>
  <c r="C249" i="55"/>
  <c r="I563" i="1"/>
  <c r="K563" i="1" s="1"/>
  <c r="P2446" i="1"/>
  <c r="R2446" i="1" s="1"/>
  <c r="R2448" i="1" s="1"/>
  <c r="C855" i="55" s="1"/>
  <c r="V464" i="1"/>
  <c r="X464" i="1" s="1"/>
  <c r="X468" i="1" s="1"/>
  <c r="X470" i="1" s="1"/>
  <c r="V476" i="1" s="1"/>
  <c r="X476" i="1" s="1"/>
  <c r="X482" i="1" s="1"/>
  <c r="X484" i="1" s="1"/>
  <c r="V486" i="1" s="1"/>
  <c r="X486" i="1" s="1"/>
  <c r="P2093" i="1"/>
  <c r="I877" i="1"/>
  <c r="K351" i="1"/>
  <c r="C121" i="55"/>
  <c r="C139" i="55"/>
  <c r="AG413" i="1"/>
  <c r="C828" i="55"/>
  <c r="AK1200" i="1"/>
  <c r="C133" i="55"/>
  <c r="X405" i="1"/>
  <c r="AG451" i="1"/>
  <c r="C189" i="55"/>
  <c r="AB540" i="1"/>
  <c r="AD540" i="1" s="1"/>
  <c r="C473" i="55"/>
  <c r="C458" i="55"/>
  <c r="AI538" i="1"/>
  <c r="AK538" i="1" s="1"/>
  <c r="C479" i="55"/>
  <c r="AB563" i="1"/>
  <c r="AD563" i="1" s="1"/>
  <c r="C823" i="55"/>
  <c r="AD1200" i="1"/>
  <c r="C184" i="55"/>
  <c r="X438" i="1"/>
  <c r="C185" i="55" s="1"/>
  <c r="X350" i="1"/>
  <c r="C87" i="55"/>
  <c r="K406" i="1"/>
  <c r="C171" i="55"/>
  <c r="I540" i="1"/>
  <c r="K540" i="1" s="1"/>
  <c r="C236" i="55"/>
  <c r="AD1242" i="1"/>
  <c r="AD1255" i="1" s="1"/>
  <c r="AD1257" i="1" s="1"/>
  <c r="AB1214" i="1"/>
  <c r="AD1214" i="1" s="1"/>
  <c r="AD1227" i="1" s="1"/>
  <c r="AD1229" i="1" s="1"/>
  <c r="C900" i="55" s="1"/>
  <c r="C506" i="55"/>
  <c r="X745" i="1"/>
  <c r="C74" i="55"/>
  <c r="K827" i="1"/>
  <c r="K291" i="1"/>
  <c r="C69" i="55" s="1"/>
  <c r="C68" i="55"/>
  <c r="I663" i="1"/>
  <c r="K663" i="1" s="1"/>
  <c r="C267" i="55"/>
  <c r="C526" i="55"/>
  <c r="R1162" i="1"/>
  <c r="K3676" i="27"/>
  <c r="M3676" i="27" s="1"/>
  <c r="AU173" i="1"/>
  <c r="AV173" i="1" s="1"/>
  <c r="AU120" i="1"/>
  <c r="AV120" i="1" s="1"/>
  <c r="AS121" i="1"/>
  <c r="AT120" i="1"/>
  <c r="K3638" i="27"/>
  <c r="AQ179" i="1"/>
  <c r="AS179" i="1" s="1"/>
  <c r="AS147" i="1"/>
  <c r="AI561" i="1" l="1"/>
  <c r="AK561" i="1" s="1"/>
  <c r="AI562" i="1" s="1"/>
  <c r="AK562" i="1" s="1"/>
  <c r="AU207" i="1"/>
  <c r="AV207" i="1" s="1"/>
  <c r="AR207" i="1"/>
  <c r="X721" i="1"/>
  <c r="C498" i="55"/>
  <c r="C507" i="55"/>
  <c r="X746" i="1"/>
  <c r="AD1201" i="1"/>
  <c r="AD1202" i="1" s="1"/>
  <c r="AD1203" i="1" s="1"/>
  <c r="AD1204" i="1" s="1"/>
  <c r="AD1205" i="1" s="1"/>
  <c r="AD1206" i="1" s="1"/>
  <c r="AD1207" i="1" s="1"/>
  <c r="AD1208" i="1" s="1"/>
  <c r="C824" i="55"/>
  <c r="C459" i="55"/>
  <c r="AI539" i="1"/>
  <c r="AK539" i="1" s="1"/>
  <c r="AK1201" i="1"/>
  <c r="AK1202" i="1" s="1"/>
  <c r="AK1203" i="1" s="1"/>
  <c r="AK1204" i="1" s="1"/>
  <c r="AK1205" i="1" s="1"/>
  <c r="AK1206" i="1" s="1"/>
  <c r="C829" i="55"/>
  <c r="I859" i="1"/>
  <c r="K877" i="1"/>
  <c r="K889" i="1" s="1"/>
  <c r="V877" i="1"/>
  <c r="I893" i="1"/>
  <c r="K893" i="1" s="1"/>
  <c r="K905" i="1" s="1"/>
  <c r="I564" i="1"/>
  <c r="K564" i="1" s="1"/>
  <c r="I565" i="1" s="1"/>
  <c r="K565" i="1" s="1"/>
  <c r="I566" i="1" s="1"/>
  <c r="K566" i="1" s="1"/>
  <c r="I567" i="1" s="1"/>
  <c r="K567" i="1" s="1"/>
  <c r="I568" i="1" s="1"/>
  <c r="K568" i="1" s="1"/>
  <c r="I569" i="1" s="1"/>
  <c r="K569" i="1" s="1"/>
  <c r="I570" i="1" s="1"/>
  <c r="K570" i="1" s="1"/>
  <c r="I571" i="1" s="1"/>
  <c r="K571" i="1" s="1"/>
  <c r="C250" i="55"/>
  <c r="F211" i="32"/>
  <c r="F215" i="32" s="1"/>
  <c r="F216" i="32" s="1"/>
  <c r="F219" i="32" s="1"/>
  <c r="E254" i="32"/>
  <c r="F254" i="32" s="1"/>
  <c r="F258" i="32" s="1"/>
  <c r="F259" i="32" s="1"/>
  <c r="F262" i="32" s="1"/>
  <c r="F173" i="32"/>
  <c r="F177" i="32" s="1"/>
  <c r="F178" i="32" s="1"/>
  <c r="F181" i="32" s="1"/>
  <c r="AG351" i="1"/>
  <c r="C94" i="55"/>
  <c r="C740" i="55"/>
  <c r="C1431" i="55"/>
  <c r="C172" i="55"/>
  <c r="L406" i="1"/>
  <c r="L407" i="1" s="1"/>
  <c r="AB541" i="1"/>
  <c r="AD541" i="1" s="1"/>
  <c r="C474" i="55"/>
  <c r="L351" i="1"/>
  <c r="L352" i="1" s="1"/>
  <c r="L353" i="1" s="1"/>
  <c r="C122" i="55"/>
  <c r="C580" i="55"/>
  <c r="C584" i="55"/>
  <c r="C515" i="55"/>
  <c r="X692" i="1"/>
  <c r="C480" i="55"/>
  <c r="AB564" i="1"/>
  <c r="AD564" i="1" s="1"/>
  <c r="X406" i="1"/>
  <c r="C135" i="55" s="1"/>
  <c r="C134" i="55"/>
  <c r="C140" i="55"/>
  <c r="AG414" i="1"/>
  <c r="V487" i="1"/>
  <c r="X487" i="1" s="1"/>
  <c r="C490" i="55"/>
  <c r="L473" i="1"/>
  <c r="K474" i="1"/>
  <c r="E133" i="32"/>
  <c r="F133" i="32" s="1"/>
  <c r="F137" i="32" s="1"/>
  <c r="F138" i="32" s="1"/>
  <c r="F141" i="32" s="1"/>
  <c r="C582" i="55" s="1"/>
  <c r="F73" i="32"/>
  <c r="F77" i="32" s="1"/>
  <c r="F78" i="32" s="1"/>
  <c r="F81" i="32" s="1"/>
  <c r="C581" i="55" s="1"/>
  <c r="C237" i="55"/>
  <c r="I541" i="1"/>
  <c r="K541" i="1" s="1"/>
  <c r="C88" i="55"/>
  <c r="X351" i="1"/>
  <c r="C89" i="55" s="1"/>
  <c r="C190" i="55"/>
  <c r="AG452" i="1"/>
  <c r="C465" i="55"/>
  <c r="R2093" i="1"/>
  <c r="R2096" i="1" s="1"/>
  <c r="P2099" i="1"/>
  <c r="R2099" i="1" s="1"/>
  <c r="R2102" i="1" s="1"/>
  <c r="C485" i="55"/>
  <c r="AB488" i="1"/>
  <c r="AD488" i="1" s="1"/>
  <c r="K828" i="1"/>
  <c r="C75" i="55"/>
  <c r="R1163" i="1"/>
  <c r="C527" i="55"/>
  <c r="C268" i="55"/>
  <c r="I664" i="1"/>
  <c r="K664" i="1" s="1"/>
  <c r="I665" i="1" s="1"/>
  <c r="K665" i="1" s="1"/>
  <c r="I666" i="1" s="1"/>
  <c r="K666" i="1" s="1"/>
  <c r="I667" i="1" s="1"/>
  <c r="K667" i="1" s="1"/>
  <c r="I668" i="1" s="1"/>
  <c r="K668" i="1" s="1"/>
  <c r="I669" i="1" s="1"/>
  <c r="K669" i="1" s="1"/>
  <c r="I670" i="1" s="1"/>
  <c r="K670" i="1" s="1"/>
  <c r="L3638" i="27"/>
  <c r="K2212" i="27"/>
  <c r="AS122" i="1"/>
  <c r="AS124" i="1" s="1"/>
  <c r="AU121" i="1"/>
  <c r="AV121" i="1" s="1"/>
  <c r="AU179" i="1"/>
  <c r="AV179" i="1" s="1"/>
  <c r="AS183" i="1"/>
  <c r="AU147" i="1"/>
  <c r="AV147" i="1" s="1"/>
  <c r="AS151" i="1"/>
  <c r="X722" i="1" l="1"/>
  <c r="C499" i="55"/>
  <c r="C191" i="55"/>
  <c r="AG453" i="1"/>
  <c r="I542" i="1"/>
  <c r="K542" i="1" s="1"/>
  <c r="C238" i="55"/>
  <c r="L474" i="1"/>
  <c r="K475" i="1"/>
  <c r="AG415" i="1"/>
  <c r="C141" i="55"/>
  <c r="C481" i="55"/>
  <c r="AB565" i="1"/>
  <c r="AD565" i="1" s="1"/>
  <c r="K859" i="1"/>
  <c r="K871" i="1" s="1"/>
  <c r="V859" i="1"/>
  <c r="X859" i="1" s="1"/>
  <c r="X871" i="1" s="1"/>
  <c r="P852" i="1"/>
  <c r="R852" i="1" s="1"/>
  <c r="R864" i="1" s="1"/>
  <c r="C603" i="55" s="1"/>
  <c r="I3299" i="1"/>
  <c r="K3299" i="1" s="1"/>
  <c r="K3311" i="1" s="1"/>
  <c r="C466" i="55"/>
  <c r="AI563" i="1"/>
  <c r="AK563" i="1" s="1"/>
  <c r="V488" i="1"/>
  <c r="X488" i="1" s="1"/>
  <c r="C491" i="55"/>
  <c r="C95" i="55"/>
  <c r="AG352" i="1"/>
  <c r="C602" i="55"/>
  <c r="K891" i="1"/>
  <c r="C286" i="55"/>
  <c r="L889" i="1"/>
  <c r="AI540" i="1"/>
  <c r="AK540" i="1" s="1"/>
  <c r="C460" i="55"/>
  <c r="C508" i="55"/>
  <c r="X747" i="1"/>
  <c r="Y746" i="1"/>
  <c r="AB489" i="1"/>
  <c r="AD489" i="1" s="1"/>
  <c r="C486" i="55"/>
  <c r="C516" i="55"/>
  <c r="X693" i="1"/>
  <c r="X877" i="1"/>
  <c r="X889" i="1" s="1"/>
  <c r="V893" i="1"/>
  <c r="X893" i="1" s="1"/>
  <c r="X905" i="1" s="1"/>
  <c r="C475" i="55"/>
  <c r="AB542" i="1"/>
  <c r="AD542" i="1" s="1"/>
  <c r="AB543" i="1" s="1"/>
  <c r="AD543" i="1" s="1"/>
  <c r="AB544" i="1" s="1"/>
  <c r="AD544" i="1" s="1"/>
  <c r="AB545" i="1" s="1"/>
  <c r="AD545" i="1" s="1"/>
  <c r="AB546" i="1" s="1"/>
  <c r="AD546" i="1" s="1"/>
  <c r="AB547" i="1" s="1"/>
  <c r="AD547" i="1" s="1"/>
  <c r="AB548" i="1" s="1"/>
  <c r="AD548" i="1" s="1"/>
  <c r="AB549" i="1" s="1"/>
  <c r="AD549" i="1" s="1"/>
  <c r="AJ549" i="1" s="1"/>
  <c r="C605" i="55"/>
  <c r="C287" i="55"/>
  <c r="R1164" i="1"/>
  <c r="C528" i="55"/>
  <c r="K829" i="1"/>
  <c r="C76" i="55"/>
  <c r="AS153" i="1"/>
  <c r="AU151" i="1"/>
  <c r="AV151" i="1" s="1"/>
  <c r="AU124" i="1"/>
  <c r="AV124" i="1" s="1"/>
  <c r="AS185" i="1"/>
  <c r="AU183" i="1"/>
  <c r="AV183" i="1" s="1"/>
  <c r="AS123" i="1"/>
  <c r="AU122" i="1"/>
  <c r="AV122" i="1" s="1"/>
  <c r="X723" i="1" l="1"/>
  <c r="C500" i="55"/>
  <c r="C517" i="55"/>
  <c r="X694" i="1"/>
  <c r="X695" i="1" s="1"/>
  <c r="X696" i="1" s="1"/>
  <c r="X697" i="1" s="1"/>
  <c r="X698" i="1" s="1"/>
  <c r="X699" i="1" s="1"/>
  <c r="X700" i="1" s="1"/>
  <c r="X701" i="1" s="1"/>
  <c r="X702" i="1" s="1"/>
  <c r="C461" i="55"/>
  <c r="AI541" i="1"/>
  <c r="AK541" i="1" s="1"/>
  <c r="V489" i="1"/>
  <c r="X489" i="1" s="1"/>
  <c r="C492" i="55"/>
  <c r="C487" i="55"/>
  <c r="AB490" i="1"/>
  <c r="AD490" i="1" s="1"/>
  <c r="AB566" i="1"/>
  <c r="AD566" i="1" s="1"/>
  <c r="C482" i="55"/>
  <c r="L475" i="1"/>
  <c r="K476" i="1"/>
  <c r="AE453" i="1"/>
  <c r="AG454" i="1"/>
  <c r="C604" i="55"/>
  <c r="C288" i="55"/>
  <c r="C142" i="55"/>
  <c r="AG416" i="1"/>
  <c r="C239" i="55"/>
  <c r="I543" i="1"/>
  <c r="K543" i="1" s="1"/>
  <c r="X748" i="1"/>
  <c r="C509" i="55"/>
  <c r="AG353" i="1"/>
  <c r="C96" i="55"/>
  <c r="C467" i="55"/>
  <c r="AI564" i="1"/>
  <c r="AK564" i="1" s="1"/>
  <c r="R1165" i="1"/>
  <c r="C529" i="55"/>
  <c r="K830" i="1"/>
  <c r="C77" i="55"/>
  <c r="AU123" i="1"/>
  <c r="AV123" i="1" s="1"/>
  <c r="AS155" i="1"/>
  <c r="AT155" i="1" s="1"/>
  <c r="C546" i="55"/>
  <c r="AU153" i="1"/>
  <c r="AV153" i="1" s="1"/>
  <c r="AS187" i="1"/>
  <c r="AU185" i="1"/>
  <c r="AV185" i="1" s="1"/>
  <c r="X724" i="1" l="1"/>
  <c r="C501" i="55"/>
  <c r="Y748" i="1"/>
  <c r="Y749" i="1" s="1"/>
  <c r="C510" i="55"/>
  <c r="X749" i="1"/>
  <c r="V490" i="1"/>
  <c r="X490" i="1" s="1"/>
  <c r="C494" i="55" s="1"/>
  <c r="C493" i="55"/>
  <c r="C468" i="55"/>
  <c r="AI565" i="1"/>
  <c r="AK565" i="1" s="1"/>
  <c r="AG417" i="1"/>
  <c r="C143" i="55"/>
  <c r="AE454" i="1"/>
  <c r="AG455" i="1"/>
  <c r="AG354" i="1"/>
  <c r="C97" i="55"/>
  <c r="I544" i="1"/>
  <c r="K544" i="1" s="1"/>
  <c r="C240" i="55"/>
  <c r="L476" i="1"/>
  <c r="K477" i="1"/>
  <c r="C488" i="55"/>
  <c r="AD491" i="1"/>
  <c r="AD492" i="1" s="1"/>
  <c r="AD493" i="1" s="1"/>
  <c r="AD494" i="1" s="1"/>
  <c r="AD495" i="1" s="1"/>
  <c r="AD496" i="1" s="1"/>
  <c r="AD497" i="1" s="1"/>
  <c r="AD498" i="1" s="1"/>
  <c r="C462" i="55"/>
  <c r="AI542" i="1"/>
  <c r="AK542" i="1" s="1"/>
  <c r="AI543" i="1" s="1"/>
  <c r="AK543" i="1" s="1"/>
  <c r="AI544" i="1" s="1"/>
  <c r="AK544" i="1" s="1"/>
  <c r="AI545" i="1" s="1"/>
  <c r="AK545" i="1" s="1"/>
  <c r="AI546" i="1" s="1"/>
  <c r="AK546" i="1" s="1"/>
  <c r="AI547" i="1" s="1"/>
  <c r="AK547" i="1" s="1"/>
  <c r="AI548" i="1" s="1"/>
  <c r="AK548" i="1" s="1"/>
  <c r="AI549" i="1" s="1"/>
  <c r="AK549" i="1" s="1"/>
  <c r="R1166" i="1"/>
  <c r="C530" i="55"/>
  <c r="K831" i="1"/>
  <c r="C78" i="55"/>
  <c r="AS188" i="1"/>
  <c r="AR187" i="1"/>
  <c r="AU187" i="1"/>
  <c r="AV187" i="1" s="1"/>
  <c r="C554" i="55"/>
  <c r="AR155" i="1"/>
  <c r="AS156" i="1"/>
  <c r="AU155" i="1"/>
  <c r="AV155" i="1" s="1"/>
  <c r="C547" i="55"/>
  <c r="K478" i="1" l="1"/>
  <c r="L477" i="1"/>
  <c r="I545" i="1"/>
  <c r="K545" i="1" s="1"/>
  <c r="C241" i="55"/>
  <c r="AE455" i="1"/>
  <c r="AG456" i="1"/>
  <c r="AI566" i="1"/>
  <c r="AK566" i="1" s="1"/>
  <c r="C469" i="55"/>
  <c r="X750" i="1"/>
  <c r="X751" i="1" s="1"/>
  <c r="X752" i="1" s="1"/>
  <c r="X753" i="1" s="1"/>
  <c r="C511" i="55"/>
  <c r="AG355" i="1"/>
  <c r="C98" i="55"/>
  <c r="AG418" i="1"/>
  <c r="C144" i="55"/>
  <c r="C79" i="55"/>
  <c r="K832" i="1"/>
  <c r="C531" i="55"/>
  <c r="R1167" i="1"/>
  <c r="AS157" i="1"/>
  <c r="C548" i="55"/>
  <c r="AR156" i="1"/>
  <c r="AU156" i="1"/>
  <c r="AV156" i="1" s="1"/>
  <c r="AT156" i="1"/>
  <c r="AR188" i="1"/>
  <c r="C555" i="55"/>
  <c r="AU188" i="1"/>
  <c r="AV188" i="1" s="1"/>
  <c r="AS189" i="1"/>
  <c r="AG419" i="1" l="1"/>
  <c r="C145" i="55"/>
  <c r="K479" i="1"/>
  <c r="L479" i="1" s="1"/>
  <c r="L478" i="1"/>
  <c r="AE456" i="1"/>
  <c r="AG457" i="1"/>
  <c r="AG356" i="1"/>
  <c r="C99" i="55"/>
  <c r="I546" i="1"/>
  <c r="K546" i="1" s="1"/>
  <c r="C242" i="55"/>
  <c r="K833" i="1"/>
  <c r="C80" i="55"/>
  <c r="C532" i="55"/>
  <c r="R1168" i="1"/>
  <c r="AS190" i="1"/>
  <c r="C556" i="55"/>
  <c r="AR189" i="1"/>
  <c r="AU189" i="1"/>
  <c r="AV189" i="1" s="1"/>
  <c r="AU157" i="1"/>
  <c r="AV157" i="1" s="1"/>
  <c r="AS158" i="1"/>
  <c r="C549" i="55"/>
  <c r="AR157" i="1"/>
  <c r="I547" i="1" l="1"/>
  <c r="K547" i="1" s="1"/>
  <c r="C243" i="55"/>
  <c r="AG420" i="1"/>
  <c r="C146" i="55"/>
  <c r="AG458" i="1"/>
  <c r="AE457" i="1"/>
  <c r="AG357" i="1"/>
  <c r="C100" i="55"/>
  <c r="K834" i="1"/>
  <c r="C81" i="55"/>
  <c r="C533" i="55"/>
  <c r="R1169" i="1"/>
  <c r="AU158" i="1"/>
  <c r="AV158" i="1" s="1"/>
  <c r="AR158" i="1"/>
  <c r="AS159" i="1"/>
  <c r="C550" i="55"/>
  <c r="AU190" i="1"/>
  <c r="AV190" i="1" s="1"/>
  <c r="AR190" i="1"/>
  <c r="AS191" i="1"/>
  <c r="C557" i="55"/>
  <c r="AE458" i="1" l="1"/>
  <c r="AG459" i="1"/>
  <c r="C101" i="55"/>
  <c r="AG358" i="1"/>
  <c r="AG421" i="1"/>
  <c r="C147" i="55"/>
  <c r="C82" i="55"/>
  <c r="K835" i="1"/>
  <c r="C83" i="55" s="1"/>
  <c r="C534" i="55"/>
  <c r="R1170" i="1"/>
  <c r="AR191" i="1"/>
  <c r="C558" i="55"/>
  <c r="AU191" i="1"/>
  <c r="AV191" i="1" s="1"/>
  <c r="AU159" i="1"/>
  <c r="AV159" i="1" s="1"/>
  <c r="C551" i="55"/>
  <c r="AR159" i="1"/>
  <c r="AG422" i="1" l="1"/>
  <c r="C148" i="55"/>
  <c r="AE459" i="1"/>
  <c r="AG460" i="1"/>
  <c r="AG359" i="1"/>
  <c r="C102" i="55"/>
  <c r="C535" i="55"/>
  <c r="R1171" i="1"/>
  <c r="C536" i="55" s="1"/>
  <c r="C103" i="55" l="1"/>
  <c r="AG360" i="1"/>
  <c r="C104" i="55" s="1"/>
  <c r="C149" i="55"/>
  <c r="AI422" i="1"/>
  <c r="AG461" i="1"/>
  <c r="AE460" i="1"/>
  <c r="AE461" i="1" l="1"/>
  <c r="AG462" i="1"/>
  <c r="C150" i="55"/>
  <c r="AI423" i="1"/>
  <c r="C151" i="55" s="1"/>
  <c r="AG463" i="1" l="1"/>
  <c r="AE463" i="1" s="1"/>
  <c r="AE462" i="1"/>
</calcChain>
</file>

<file path=xl/sharedStrings.xml><?xml version="1.0" encoding="utf-8"?>
<sst xmlns="http://schemas.openxmlformats.org/spreadsheetml/2006/main" count="36882" uniqueCount="6638">
  <si>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</si>
  <si>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</si>
  <si>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</si>
  <si>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</si>
  <si>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</si>
  <si>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</si>
  <si>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</si>
  <si>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</si>
  <si>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</si>
  <si>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</si>
  <si>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</si>
  <si>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</si>
  <si>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</si>
  <si>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</si>
  <si>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</si>
  <si>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</si>
  <si>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</si>
  <si>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</si>
  <si>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</si>
  <si>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</si>
  <si>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</si>
  <si>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</si>
  <si>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</si>
  <si>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</si>
  <si>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</si>
  <si>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</si>
  <si>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</si>
  <si>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</si>
  <si>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</si>
  <si>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</si>
  <si>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</si>
  <si>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</si>
  <si>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</si>
  <si>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</si>
  <si>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</si>
  <si>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</si>
  <si>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</si>
  <si>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</si>
  <si>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</si>
  <si>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</si>
  <si>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</si>
  <si>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</si>
  <si>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</si>
  <si>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</si>
  <si>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</si>
  <si>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</si>
  <si>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</si>
  <si>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</si>
  <si>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</si>
  <si>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</si>
  <si>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</si>
  <si>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</si>
  <si>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</si>
  <si>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</si>
  <si>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</si>
  <si>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</si>
  <si>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</si>
  <si>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</si>
  <si>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</si>
  <si>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</si>
  <si>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</si>
  <si>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</si>
  <si>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</si>
  <si>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</si>
  <si>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</si>
  <si>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</si>
  <si>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</si>
  <si>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</si>
  <si>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</si>
  <si>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</si>
  <si>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</si>
  <si>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</si>
  <si>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</si>
  <si>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</si>
  <si>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</si>
  <si>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</si>
  <si>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</si>
  <si>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</si>
  <si>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</si>
  <si>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</si>
  <si>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</si>
  <si>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</si>
  <si>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</si>
  <si>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</si>
  <si>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</si>
  <si>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</si>
  <si>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</si>
  <si>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</si>
  <si>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</si>
  <si>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</si>
  <si>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</si>
  <si>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</si>
  <si>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</si>
  <si>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</si>
  <si>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</si>
  <si>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</si>
  <si>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</si>
  <si>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</si>
  <si>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</si>
  <si>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</si>
  <si>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</si>
  <si>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</si>
  <si>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</si>
  <si>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</si>
  <si>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</si>
  <si>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</si>
  <si>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</si>
  <si>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</si>
  <si>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</si>
  <si>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</si>
  <si>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</si>
  <si>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</si>
  <si>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</si>
  <si>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</si>
  <si>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</si>
  <si>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</si>
  <si>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</si>
  <si>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</si>
  <si>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</si>
  <si>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</si>
  <si>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</si>
  <si>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</si>
  <si>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</si>
  <si>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</si>
  <si>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</si>
  <si>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</si>
  <si>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</si>
  <si>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</si>
  <si>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</si>
  <si>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</si>
  <si>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</si>
  <si>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</si>
  <si>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</si>
  <si>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</si>
  <si>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</si>
  <si>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</si>
  <si>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</si>
  <si>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</si>
  <si>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</si>
  <si>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</si>
  <si>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</si>
  <si>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</si>
  <si>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</si>
  <si>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</si>
  <si>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</si>
  <si>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</si>
  <si>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</si>
  <si>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</si>
  <si>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</si>
  <si>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</si>
  <si>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</si>
  <si>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</si>
  <si>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</si>
  <si>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</si>
  <si>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</si>
  <si>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</si>
  <si>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</si>
  <si>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</si>
  <si>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</si>
  <si>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</si>
  <si>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</si>
  <si>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</si>
  <si>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</si>
  <si>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</si>
  <si>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</si>
  <si>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</si>
  <si>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</si>
  <si>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</si>
  <si>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</si>
  <si>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</si>
  <si>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</si>
  <si>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</si>
  <si>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</si>
  <si>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</si>
  <si>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</si>
  <si>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</si>
  <si>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</si>
  <si>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</si>
  <si>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</si>
  <si>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</si>
  <si>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</si>
  <si>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</si>
  <si>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</si>
  <si>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</si>
  <si>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</si>
  <si>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</si>
  <si>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</si>
  <si>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</si>
  <si>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</si>
  <si>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</si>
  <si>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</si>
  <si>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</si>
  <si>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</si>
  <si>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</si>
  <si>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</si>
  <si>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</si>
  <si>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</si>
  <si>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</si>
  <si>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</si>
  <si>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</si>
  <si>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</si>
  <si>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</si>
  <si>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</si>
  <si>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</si>
  <si>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</si>
  <si>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</si>
  <si>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</si>
  <si>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</si>
  <si>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</si>
  <si>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</si>
  <si>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</si>
  <si>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</si>
  <si>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</si>
  <si>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</si>
  <si>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</si>
  <si>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</si>
  <si>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</si>
  <si>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</si>
  <si>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</si>
  <si>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</si>
  <si>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</si>
  <si>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</si>
  <si>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</si>
  <si>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</si>
  <si>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</si>
  <si>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</si>
  <si>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</si>
  <si>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</si>
  <si>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</si>
  <si>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</si>
  <si>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</si>
  <si>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</si>
  <si>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</si>
  <si>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</si>
  <si>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</si>
  <si>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</si>
  <si>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</si>
  <si>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</si>
  <si>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</si>
  <si>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</si>
  <si>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</si>
  <si>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</si>
  <si>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</si>
  <si>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</si>
  <si>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</si>
  <si>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</si>
  <si>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</si>
  <si>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</si>
  <si>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</si>
  <si>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</si>
  <si>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</si>
  <si>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</si>
  <si>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</si>
  <si>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</si>
  <si>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</si>
  <si>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</si>
  <si>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</si>
  <si>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</si>
  <si>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</si>
  <si>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</si>
  <si>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</si>
  <si>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</si>
  <si>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</si>
  <si>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</si>
  <si>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</si>
  <si>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</si>
  <si>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</si>
  <si>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</si>
  <si>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</si>
  <si>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</si>
  <si>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</si>
  <si>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</si>
  <si>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</si>
  <si>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</si>
  <si>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</si>
  <si>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</si>
  <si>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</si>
  <si>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</si>
  <si>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</si>
  <si>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</si>
  <si>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</si>
  <si>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</si>
  <si>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</si>
  <si>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</si>
  <si>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</si>
  <si>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</si>
  <si>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</si>
  <si>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</si>
  <si>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</si>
  <si>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</si>
  <si>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</si>
  <si>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</si>
  <si>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</si>
  <si>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</si>
  <si>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</si>
  <si>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</si>
  <si>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</si>
  <si>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</si>
  <si>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</si>
  <si>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</si>
  <si>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</si>
  <si>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</si>
  <si>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</si>
  <si>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</si>
  <si>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</si>
  <si>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</si>
  <si>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</si>
  <si>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</si>
  <si>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</si>
  <si>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</si>
  <si>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</si>
  <si>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</si>
  <si>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</si>
  <si>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</si>
  <si>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</si>
  <si>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</si>
  <si>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</si>
  <si>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</si>
  <si>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</si>
  <si>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</si>
  <si>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</si>
  <si>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</si>
  <si>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</si>
  <si>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</si>
  <si>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</si>
  <si>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</si>
  <si>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</si>
  <si>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</si>
  <si>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</si>
  <si>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</si>
  <si>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</si>
  <si>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</si>
  <si>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</si>
  <si>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</si>
  <si>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</si>
  <si>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</si>
  <si>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</si>
  <si>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</si>
  <si>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</si>
  <si>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</si>
  <si>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</si>
  <si>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</si>
  <si>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</si>
  <si>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</si>
  <si>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</si>
  <si>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</si>
  <si>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</si>
  <si>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</si>
  <si>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</si>
  <si>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</si>
  <si>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</si>
  <si>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</si>
  <si>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</si>
  <si>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</si>
  <si>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</si>
  <si>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</si>
  <si>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</si>
  <si>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</si>
  <si>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</si>
  <si>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</si>
  <si>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</si>
  <si>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</si>
  <si>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</si>
  <si>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</si>
  <si>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</si>
  <si>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</si>
  <si>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</si>
  <si>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</si>
  <si>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</si>
  <si>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</si>
  <si>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</si>
  <si>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</si>
  <si>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</si>
  <si>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</si>
  <si>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</si>
  <si>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</si>
  <si>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</si>
  <si>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</si>
  <si>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</si>
  <si>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</si>
  <si>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</si>
  <si>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</si>
  <si>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</si>
  <si>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</si>
  <si>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</si>
  <si>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</si>
  <si>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</si>
  <si>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</si>
  <si>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</si>
  <si>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</si>
  <si>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</si>
  <si>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</si>
  <si>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</si>
  <si>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</si>
  <si>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</si>
  <si>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</si>
  <si>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</si>
  <si>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</si>
  <si>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</si>
  <si>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</si>
  <si>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</si>
  <si>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</si>
  <si>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</si>
  <si>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</si>
  <si>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</si>
  <si>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</si>
  <si>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</si>
  <si>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</si>
  <si>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</si>
  <si>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</si>
  <si>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</si>
  <si>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</si>
  <si>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</si>
  <si>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</si>
  <si>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</si>
  <si>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</si>
  <si>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</si>
  <si>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</si>
  <si>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</si>
  <si>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</si>
  <si>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</si>
  <si>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</si>
  <si>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</si>
  <si>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</si>
  <si>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</si>
  <si>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</si>
  <si>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</si>
  <si>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</si>
  <si>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</si>
  <si>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</si>
  <si>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</si>
  <si>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</si>
  <si>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</si>
  <si>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</si>
  <si>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</si>
  <si>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</si>
  <si>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</si>
  <si>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</si>
  <si>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</si>
  <si>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</si>
  <si>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</si>
  <si>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</si>
  <si>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</si>
  <si>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</si>
  <si>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</si>
  <si>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</si>
  <si>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</si>
  <si>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</si>
  <si>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</si>
  <si>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</si>
  <si>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</si>
  <si>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</si>
  <si>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</si>
  <si>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</si>
  <si>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</si>
  <si>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</si>
  <si>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</si>
  <si>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</si>
  <si>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</si>
  <si>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</si>
  <si>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</si>
  <si>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</si>
  <si>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</si>
  <si>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</si>
  <si>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</si>
  <si>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</si>
  <si>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</si>
  <si>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</si>
  <si>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</si>
  <si>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</si>
  <si>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</si>
  <si>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</si>
  <si>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</si>
  <si>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</si>
  <si>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</si>
  <si>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</si>
  <si>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</si>
  <si>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</si>
  <si>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</si>
  <si>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</si>
  <si>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</si>
  <si>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</si>
  <si>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</si>
  <si>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</si>
  <si>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</si>
  <si>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</si>
  <si>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</si>
  <si>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</si>
  <si>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</si>
  <si>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</si>
  <si>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</si>
  <si>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</si>
  <si>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</si>
  <si>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</si>
  <si>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</si>
  <si>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</si>
  <si>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</si>
  <si>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</si>
  <si>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</si>
  <si>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</si>
  <si>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</si>
  <si>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</si>
  <si>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</si>
  <si>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</si>
  <si>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</si>
  <si>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</si>
  <si>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</si>
  <si>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</si>
  <si>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</si>
  <si>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</si>
  <si>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</si>
  <si>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</si>
  <si>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</si>
  <si>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</si>
  <si>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</si>
  <si>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</si>
  <si>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</si>
  <si>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</si>
  <si>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</si>
  <si>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</si>
  <si>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</si>
  <si>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</si>
  <si>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</si>
  <si>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</si>
  <si>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</si>
  <si>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</si>
  <si>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</si>
  <si>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</si>
  <si>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</si>
  <si>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</si>
  <si>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</si>
  <si>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</si>
  <si>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</si>
  <si>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</si>
  <si>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</si>
  <si>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</si>
  <si>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</si>
  <si>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</si>
  <si>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</si>
  <si>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</si>
  <si>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</si>
  <si>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</si>
  <si>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</si>
  <si>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</si>
  <si>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</si>
  <si>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</si>
  <si>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</si>
  <si>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</si>
  <si>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</si>
  <si>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</si>
  <si>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</si>
  <si>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</si>
  <si>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</si>
  <si>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</si>
  <si>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</si>
  <si>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</si>
  <si>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</si>
  <si>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</si>
  <si>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</si>
  <si>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</si>
  <si>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</si>
  <si>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</si>
  <si>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</si>
  <si>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</si>
  <si>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</si>
  <si>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</si>
  <si>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</si>
  <si>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</si>
  <si>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</si>
  <si>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</si>
  <si>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</si>
  <si>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</si>
  <si>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</si>
  <si>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</si>
  <si>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</si>
  <si>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</si>
  <si>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</si>
  <si>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</si>
  <si>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</si>
  <si>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</si>
  <si>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</si>
  <si>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</si>
  <si>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</si>
  <si>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</si>
  <si>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</si>
  <si>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</si>
  <si>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</si>
  <si>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</si>
  <si>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</si>
  <si>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</si>
  <si>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</si>
  <si>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</si>
  <si>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</si>
  <si>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</si>
  <si>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</si>
  <si>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</si>
  <si>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</si>
  <si>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</si>
  <si>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</si>
  <si>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</si>
  <si>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</si>
  <si>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</si>
  <si>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</si>
  <si>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</si>
  <si>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</si>
  <si>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</si>
  <si>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</si>
  <si>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</si>
  <si>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</si>
  <si>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</si>
  <si>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</si>
  <si>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</si>
  <si>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</si>
  <si>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</si>
  <si>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</si>
  <si>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</si>
  <si>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</si>
  <si>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</si>
  <si>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</si>
  <si>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</si>
  <si>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</si>
  <si>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</si>
  <si>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</si>
  <si>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</si>
  <si>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</si>
  <si>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</si>
  <si>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</si>
  <si>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</si>
  <si>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</si>
  <si>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</si>
  <si>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</si>
  <si>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</si>
  <si>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</si>
  <si>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</si>
  <si>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</si>
  <si>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</si>
  <si>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</si>
  <si>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</si>
  <si>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</si>
  <si>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</si>
  <si>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</si>
  <si>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</si>
  <si>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</si>
  <si>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</si>
  <si>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</si>
  <si>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</si>
  <si>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</si>
  <si>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</si>
  <si>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</si>
  <si>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</si>
  <si>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</si>
  <si>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</si>
  <si>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</si>
  <si>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</si>
  <si>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</si>
  <si>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</si>
  <si>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</si>
  <si>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</si>
  <si>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</si>
  <si>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</si>
  <si>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</si>
  <si>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</si>
  <si>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</si>
  <si>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</si>
  <si>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</si>
  <si>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</si>
  <si>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</si>
  <si>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</si>
  <si>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</si>
  <si>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</si>
  <si>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</si>
  <si>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</si>
  <si>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</si>
  <si>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</si>
  <si>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</si>
  <si>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</si>
  <si>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</si>
  <si>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</si>
  <si>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</si>
  <si>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</si>
  <si>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</si>
  <si>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</si>
  <si>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</si>
  <si>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</si>
  <si>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</si>
  <si>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</si>
  <si>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</si>
  <si>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</si>
  <si>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</si>
  <si>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</si>
  <si>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</si>
  <si>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</si>
  <si>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</si>
  <si>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</si>
  <si>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</si>
  <si>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</si>
  <si>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</si>
  <si>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</si>
  <si>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</si>
  <si>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</si>
  <si>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</si>
  <si>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</si>
  <si>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</si>
  <si>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</si>
  <si>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</si>
  <si>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</si>
  <si>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</si>
  <si>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</si>
  <si>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</si>
  <si>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</si>
  <si>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</si>
  <si>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</si>
  <si>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</si>
  <si>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</si>
  <si>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</si>
  <si>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</si>
  <si>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</si>
  <si>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</si>
  <si>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</si>
  <si>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</si>
  <si>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</si>
  <si>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</si>
  <si>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</si>
  <si>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</si>
  <si>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</si>
  <si>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</si>
  <si>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</si>
  <si>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</si>
  <si>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</si>
  <si>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</si>
  <si>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</si>
  <si>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</si>
  <si>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</si>
  <si>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</si>
  <si>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</si>
  <si>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</si>
  <si>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</si>
  <si>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</si>
  <si>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</si>
  <si>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</si>
  <si>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</si>
  <si>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</si>
  <si>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</si>
  <si>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</si>
  <si>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</si>
  <si>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</si>
  <si>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</si>
  <si>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</si>
  <si>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</si>
  <si>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</si>
  <si>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</si>
  <si>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</si>
  <si>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</si>
  <si>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</si>
  <si>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</si>
  <si>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</si>
  <si>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</si>
  <si>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</si>
  <si>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</si>
  <si>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</si>
  <si>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</si>
  <si>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</si>
  <si>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</si>
  <si>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</si>
  <si>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</si>
  <si>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</si>
  <si>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</si>
  <si>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</si>
  <si>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</si>
  <si>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</si>
  <si>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</si>
  <si>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</si>
  <si>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</si>
  <si>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</si>
  <si>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</si>
  <si>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</si>
  <si>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</si>
  <si>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</si>
  <si>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</si>
  <si>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</si>
  <si>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</si>
  <si>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</si>
  <si>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</si>
  <si>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</si>
  <si>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</si>
  <si>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</si>
  <si>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</si>
  <si>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</si>
  <si>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</si>
  <si>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</si>
  <si>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</si>
  <si>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</si>
  <si>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</si>
  <si>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</si>
  <si>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</si>
  <si>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</si>
  <si>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</si>
  <si>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</si>
  <si>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</si>
  <si>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</si>
  <si>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</si>
  <si>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</si>
  <si>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</si>
  <si>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</si>
  <si>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</si>
  <si>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</si>
  <si>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</si>
  <si>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</si>
  <si>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</si>
  <si>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</si>
  <si>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</si>
  <si>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</si>
  <si>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</si>
  <si>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</si>
  <si>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</si>
  <si>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</si>
  <si>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</si>
  <si>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</si>
  <si>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</si>
  <si>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</si>
  <si>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</si>
  <si>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</si>
  <si>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</si>
  <si>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</si>
  <si>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</si>
  <si>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</si>
  <si>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</si>
  <si>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</si>
  <si>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</si>
  <si>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</si>
  <si>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</si>
  <si>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</si>
  <si>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</si>
  <si>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</si>
  <si>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</si>
  <si>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</si>
  <si>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</si>
  <si>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</si>
  <si>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</si>
  <si>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</si>
  <si>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</si>
  <si>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</si>
  <si>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</si>
  <si>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</si>
  <si>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</si>
  <si>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</si>
  <si>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</si>
  <si>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</si>
  <si>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</si>
  <si>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</si>
  <si>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</si>
  <si>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</si>
  <si>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</si>
  <si>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</si>
  <si>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</si>
  <si>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</si>
  <si>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</si>
  <si>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</si>
  <si>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</si>
  <si>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</si>
  <si>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</si>
  <si>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</si>
  <si>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</si>
  <si>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</si>
  <si>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</si>
  <si>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</si>
  <si>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</si>
  <si>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</si>
  <si>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</si>
  <si>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</si>
  <si>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</si>
  <si>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</si>
  <si>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</si>
  <si>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</si>
  <si>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</si>
  <si>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</si>
  <si>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</si>
  <si>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</si>
  <si>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</si>
  <si>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</si>
  <si>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</si>
  <si>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</si>
  <si>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</si>
  <si>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</si>
  <si>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</si>
  <si>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</si>
  <si>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</si>
  <si>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</si>
  <si>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</si>
  <si>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</si>
  <si>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</si>
  <si>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</si>
  <si>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</si>
  <si>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</si>
  <si>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</si>
  <si>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</si>
  <si>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</si>
  <si>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</si>
  <si>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</si>
  <si>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</si>
  <si>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</si>
  <si>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</si>
  <si>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</si>
  <si>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</si>
  <si>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</si>
  <si>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</si>
  <si>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</si>
  <si>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</si>
  <si>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</si>
  <si>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</si>
  <si>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</si>
  <si>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</si>
  <si>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</si>
  <si>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</si>
  <si>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</si>
  <si>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</si>
  <si>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</si>
  <si>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</si>
  <si>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</si>
  <si>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</si>
  <si>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</si>
  <si>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</si>
  <si>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</si>
  <si>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</si>
  <si>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</si>
  <si>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</si>
  <si>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</si>
  <si>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</si>
  <si>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</si>
  <si>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</si>
  <si>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</si>
  <si>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</si>
  <si>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</si>
  <si>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</si>
  <si>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</si>
  <si>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</si>
  <si>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</si>
  <si>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</si>
  <si>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</si>
  <si>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</si>
  <si>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</si>
  <si>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</si>
  <si>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</si>
  <si>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</si>
  <si>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</si>
  <si>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</si>
  <si>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</si>
  <si>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</si>
  <si>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</si>
  <si>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</si>
  <si>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</si>
  <si>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</si>
  <si>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</si>
  <si>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</si>
  <si>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</si>
  <si>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</si>
  <si>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</si>
  <si>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</si>
  <si>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</si>
  <si>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</si>
  <si>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</si>
  <si>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</si>
  <si>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</si>
  <si>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</si>
  <si>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</si>
  <si>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</si>
  <si>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</si>
  <si>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</si>
  <si>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</si>
  <si>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</si>
  <si>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</si>
  <si>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</si>
  <si>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</si>
  <si>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</si>
  <si>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</si>
  <si>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</si>
  <si>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</si>
  <si>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</si>
  <si>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</si>
  <si>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</si>
  <si>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</si>
  <si>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</si>
  <si>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</si>
  <si>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</si>
  <si>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</si>
  <si>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</si>
  <si>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</si>
  <si>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</si>
  <si>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</si>
  <si>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</si>
  <si>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</si>
  <si>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</si>
  <si>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</si>
  <si>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</si>
  <si>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</si>
  <si>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</si>
  <si>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</si>
  <si>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</si>
  <si>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</si>
  <si>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</si>
  <si>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</si>
  <si>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</si>
  <si>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</si>
  <si>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</si>
  <si>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</si>
  <si>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</si>
  <si>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</si>
  <si>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</si>
  <si>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</si>
  <si>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</si>
  <si>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</si>
  <si>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</si>
  <si>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</si>
  <si>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</si>
  <si>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</si>
  <si>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</si>
  <si>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</si>
  <si>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</si>
  <si>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</si>
  <si>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</si>
  <si>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</si>
  <si>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</si>
  <si>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</si>
  <si>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</si>
  <si>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</si>
  <si>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</si>
  <si>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</si>
  <si>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</si>
  <si>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</si>
  <si>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</si>
  <si>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</si>
  <si>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</si>
  <si>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</si>
  <si>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</si>
  <si>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</si>
  <si>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</si>
  <si>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</si>
  <si>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</si>
  <si>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</si>
  <si>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</si>
  <si>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</si>
  <si>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</si>
  <si>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</si>
  <si>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</si>
  <si>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</si>
  <si>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</si>
  <si>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</si>
  <si>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</si>
  <si>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</si>
  <si>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</si>
  <si>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</si>
  <si>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</si>
  <si>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</si>
  <si>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</si>
  <si>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</si>
  <si>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</si>
  <si>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</si>
  <si>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</si>
  <si>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</si>
  <si>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</si>
  <si>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</si>
  <si>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</si>
  <si>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</si>
  <si>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</si>
  <si>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</si>
  <si>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</si>
  <si>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</si>
  <si>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</si>
  <si>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</si>
  <si>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</si>
  <si>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</si>
  <si>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</si>
  <si>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</si>
  <si>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</si>
  <si>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</si>
  <si>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</si>
  <si>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</si>
  <si>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</si>
  <si>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</si>
  <si>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</si>
  <si>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</si>
  <si>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</si>
  <si>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</si>
  <si>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</si>
  <si>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</si>
  <si>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</si>
  <si>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</si>
  <si>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</si>
  <si>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</si>
  <si>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</si>
  <si>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</si>
  <si>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</si>
  <si>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</si>
  <si>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</si>
  <si>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</si>
  <si>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</si>
  <si>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</si>
  <si>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</si>
  <si>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</si>
  <si>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</si>
  <si>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</si>
  <si>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</si>
  <si>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</si>
  <si>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</si>
  <si>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</si>
  <si>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</si>
  <si>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</si>
  <si>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</si>
  <si>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</si>
  <si>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</si>
  <si>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</si>
  <si>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</si>
  <si>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</si>
  <si>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</si>
  <si>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</si>
  <si>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</si>
  <si>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</si>
  <si>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</si>
  <si>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</si>
  <si>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</si>
  <si>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</si>
  <si>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</si>
  <si>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</si>
  <si>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</si>
  <si>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</si>
  <si>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</si>
  <si>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</si>
  <si>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</si>
  <si>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</si>
  <si>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</si>
  <si>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</si>
  <si>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</si>
  <si>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</si>
  <si>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</si>
  <si>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</si>
  <si>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</si>
  <si>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</si>
  <si>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</si>
  <si>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</si>
  <si>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</si>
  <si>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</si>
  <si>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</si>
  <si>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</si>
  <si>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</si>
  <si>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</si>
  <si>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</si>
  <si>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</si>
  <si>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</si>
  <si>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</si>
  <si>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</si>
  <si>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</si>
  <si>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</si>
  <si>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</si>
  <si>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</si>
  <si>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</si>
  <si>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</si>
  <si>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</si>
  <si>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</si>
  <si>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</si>
  <si>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</si>
  <si>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</si>
  <si>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</si>
  <si>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</si>
  <si>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</si>
  <si>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</si>
  <si>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</si>
  <si>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</si>
  <si>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</si>
  <si>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</si>
  <si>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</si>
  <si>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</si>
  <si>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</si>
  <si>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</si>
  <si>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</si>
  <si>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</si>
  <si>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</si>
  <si>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</si>
  <si>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</si>
  <si>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</si>
  <si>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</si>
  <si>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</si>
  <si>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</si>
  <si>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</si>
  <si>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</si>
  <si>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</si>
  <si>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</si>
  <si>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</si>
  <si>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</si>
  <si>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</si>
  <si>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</si>
  <si>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</si>
  <si>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</si>
  <si>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</si>
  <si>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</si>
  <si>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</si>
  <si>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</si>
  <si>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</si>
  <si>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</si>
  <si>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</si>
  <si>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</si>
  <si>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</si>
  <si>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</si>
  <si>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</si>
  <si>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</si>
  <si>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</si>
  <si>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</si>
  <si>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</si>
  <si>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</si>
  <si>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</si>
  <si>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</si>
  <si>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</si>
  <si>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</si>
  <si>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</si>
  <si>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</si>
  <si>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</si>
  <si>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</si>
  <si>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</si>
  <si>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</si>
  <si>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</si>
  <si>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</si>
  <si>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</si>
  <si>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</si>
  <si>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</si>
  <si>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</si>
  <si>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</si>
  <si>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</si>
  <si>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</si>
  <si>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</si>
  <si>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</si>
  <si>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</si>
  <si>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</si>
  <si>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</si>
  <si>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</si>
  <si>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</si>
  <si>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</si>
  <si>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</si>
  <si>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</si>
  <si>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</si>
  <si>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</si>
  <si>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</si>
  <si>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</si>
  <si>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</si>
  <si>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</si>
  <si>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</si>
  <si>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</si>
  <si>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</si>
  <si>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</si>
  <si>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</si>
  <si>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</si>
  <si>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</si>
  <si>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</si>
  <si>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</si>
  <si>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</si>
  <si>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</si>
  <si>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</si>
  <si>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</si>
  <si>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</si>
  <si>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</si>
  <si>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</si>
  <si>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</si>
  <si>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</si>
  <si>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</si>
  <si>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</si>
  <si>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</si>
  <si>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</si>
  <si>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</si>
  <si>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</si>
  <si>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</si>
  <si>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</si>
  <si>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</si>
  <si>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</si>
  <si>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</si>
  <si>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</si>
  <si>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</si>
  <si>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</si>
  <si>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</si>
  <si>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</si>
  <si>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</si>
  <si>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</si>
  <si>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</si>
  <si>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</si>
  <si>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</si>
  <si>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</si>
  <si>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</si>
  <si>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</si>
  <si>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</si>
  <si>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</si>
  <si>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</si>
  <si>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</si>
  <si>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</si>
  <si>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</si>
  <si>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</si>
  <si>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</si>
  <si>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</si>
  <si>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</si>
  <si>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</si>
  <si>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</si>
  <si>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</si>
  <si>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</si>
  <si>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</si>
  <si>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</si>
  <si>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</si>
  <si>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</si>
  <si>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</si>
  <si>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</si>
  <si>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</si>
  <si>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</si>
  <si>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</si>
  <si>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</si>
  <si>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</si>
  <si>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</si>
  <si>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</si>
  <si>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</si>
  <si>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</si>
  <si>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</si>
  <si>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</si>
  <si>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</si>
  <si>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</si>
  <si>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</si>
  <si>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</si>
  <si>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</si>
  <si>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</si>
  <si>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</si>
  <si>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</si>
  <si>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</si>
  <si>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</si>
  <si>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</si>
  <si>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</si>
  <si>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</si>
  <si>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</si>
  <si>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</si>
  <si>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</si>
  <si>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</si>
  <si>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</si>
  <si>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</si>
  <si>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</si>
  <si>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</si>
  <si>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</si>
  <si>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</si>
  <si>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</si>
  <si>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</si>
  <si>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</si>
  <si>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</si>
  <si>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</si>
  <si>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</si>
  <si>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</si>
  <si>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</si>
  <si>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</si>
  <si>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</si>
  <si>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</si>
  <si>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</si>
  <si>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</si>
  <si>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</si>
  <si>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</si>
  <si>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</si>
  <si>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</si>
  <si>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</si>
  <si>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</si>
  <si>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</si>
  <si>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</si>
  <si>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</si>
  <si>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</si>
  <si>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</si>
  <si>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</si>
  <si>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</si>
  <si>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</si>
  <si>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</si>
  <si>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</si>
  <si>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</si>
  <si>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</si>
  <si>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</si>
  <si>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</si>
  <si>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</si>
  <si>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</si>
  <si>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</si>
  <si>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</si>
  <si>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</si>
  <si>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</si>
  <si>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</si>
  <si>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</si>
  <si>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</si>
  <si>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</si>
  <si>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</si>
  <si>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</si>
  <si>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</si>
  <si>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</si>
  <si>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</si>
  <si>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</si>
  <si>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</si>
  <si>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</si>
  <si>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</si>
  <si>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</si>
  <si>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</si>
  <si>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</si>
  <si>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</si>
  <si>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</si>
  <si>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</si>
  <si>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</si>
  <si>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</si>
  <si>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</si>
  <si>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</si>
  <si>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</si>
  <si>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</si>
  <si>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</si>
  <si>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</si>
  <si>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</si>
  <si>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</si>
  <si>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</si>
  <si>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</si>
  <si>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</si>
  <si>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</si>
  <si>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</si>
  <si>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</si>
  <si>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</si>
  <si>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</si>
  <si>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</si>
  <si>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</si>
  <si>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</si>
  <si>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</si>
  <si>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</si>
  <si>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</si>
  <si>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</si>
  <si>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</si>
  <si>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</si>
  <si>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</si>
  <si>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</si>
  <si>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</si>
  <si>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</si>
  <si>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</si>
  <si>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</si>
  <si>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</si>
  <si>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</si>
  <si>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</si>
  <si>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</si>
  <si>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</si>
  <si>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</si>
  <si>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</si>
  <si>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</si>
  <si>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</si>
  <si>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</si>
  <si>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</si>
  <si>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</si>
  <si>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</si>
  <si>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</si>
  <si>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</si>
  <si>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</si>
  <si>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</si>
  <si>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</si>
  <si>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</si>
  <si>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</si>
  <si>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</si>
  <si>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</si>
  <si>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</si>
  <si>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</si>
  <si>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</si>
  <si>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</si>
  <si>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</si>
  <si>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</si>
  <si>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</si>
  <si>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</si>
  <si>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</si>
  <si>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</si>
  <si>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</si>
  <si>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</si>
  <si>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</si>
  <si>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</si>
  <si>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</si>
  <si>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</si>
  <si>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</si>
  <si>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</si>
  <si>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</si>
  <si>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</si>
  <si>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</si>
  <si>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</si>
  <si>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</si>
  <si>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</si>
  <si>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</si>
  <si>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</si>
  <si>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</si>
  <si>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</si>
  <si>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</si>
  <si>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</si>
  <si>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</si>
  <si>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</si>
  <si>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</si>
  <si>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</si>
  <si>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</si>
  <si>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</si>
  <si>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</si>
  <si>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</si>
  <si>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</si>
  <si>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</si>
  <si>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</si>
  <si>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</si>
  <si>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</si>
  <si>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</si>
  <si>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</si>
  <si>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</si>
  <si>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</si>
  <si>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</si>
  <si>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</si>
  <si>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</si>
  <si>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</si>
  <si>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</si>
  <si>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</si>
  <si>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</si>
  <si>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</si>
  <si>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</si>
  <si>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</si>
  <si>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</si>
  <si>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</si>
  <si>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</si>
  <si>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</si>
  <si>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</si>
  <si>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</si>
  <si>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</si>
  <si>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</si>
  <si>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</si>
  <si>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</si>
  <si>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</si>
  <si>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</si>
  <si>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</si>
  <si>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</si>
  <si>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</si>
  <si>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</si>
  <si>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</si>
  <si>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</si>
  <si>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</si>
  <si>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</si>
  <si>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</si>
  <si>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</si>
  <si>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</si>
  <si>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</si>
  <si>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</si>
  <si>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</si>
  <si>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</si>
  <si>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</si>
  <si>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</si>
  <si>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</si>
  <si>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</si>
  <si>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</si>
  <si>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</si>
  <si>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</si>
  <si>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</si>
  <si>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</si>
  <si>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</si>
  <si>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</si>
  <si>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</si>
  <si>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</si>
  <si>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</si>
  <si>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</si>
  <si>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</si>
  <si>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</si>
  <si>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</si>
  <si>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</si>
  <si>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</si>
  <si>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</si>
  <si>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</si>
  <si>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</si>
  <si>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</si>
  <si>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</si>
  <si>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</si>
  <si>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</si>
  <si>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</si>
  <si>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</si>
  <si>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</si>
  <si>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</si>
  <si>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</si>
  <si>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</si>
  <si>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</si>
  <si>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</si>
  <si>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</si>
  <si>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</si>
  <si>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</si>
  <si>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</si>
  <si>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</si>
  <si>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</si>
  <si>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</si>
  <si>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</si>
  <si>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</si>
  <si>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</si>
  <si>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</si>
  <si>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</si>
  <si>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</si>
  <si>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</si>
  <si>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</si>
  <si>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</si>
  <si>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</si>
  <si>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</si>
  <si>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</si>
  <si>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</si>
  <si>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</si>
  <si>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</si>
  <si>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</si>
  <si>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</si>
  <si>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</si>
  <si>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</si>
  <si>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</si>
  <si>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</si>
  <si>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</si>
  <si>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</si>
  <si>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</si>
  <si>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</si>
  <si>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</si>
  <si>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</si>
  <si>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</si>
  <si>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</si>
  <si>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</si>
  <si>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</si>
  <si>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</si>
  <si>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</si>
  <si>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</si>
  <si>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</si>
  <si>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</si>
  <si>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</si>
  <si>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</si>
  <si>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</si>
  <si>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</si>
  <si>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</si>
  <si>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</si>
  <si>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</si>
  <si>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</si>
  <si>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</si>
  <si>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</si>
  <si>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</si>
  <si>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</si>
  <si>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</si>
  <si>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</si>
  <si>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</si>
  <si>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</si>
  <si>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</si>
  <si>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</si>
  <si>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</si>
  <si>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</si>
  <si>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</si>
  <si>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</si>
  <si>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</si>
  <si>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</si>
  <si>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</si>
  <si>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</si>
  <si>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</si>
  <si>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</si>
  <si>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</si>
  <si>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</si>
  <si>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</si>
  <si>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</si>
  <si>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</si>
  <si>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</si>
  <si>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</si>
  <si>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</si>
  <si>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</si>
  <si>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</si>
  <si>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</si>
  <si>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</si>
  <si>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</si>
  <si>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</si>
  <si>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</si>
  <si>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</si>
  <si>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</si>
  <si>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</si>
  <si>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</si>
  <si>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</si>
  <si>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</si>
  <si>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</si>
  <si>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</si>
  <si>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</si>
  <si>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</si>
  <si>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</si>
  <si>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</si>
  <si>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</si>
  <si>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</si>
  <si>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</si>
  <si>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</si>
  <si>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</si>
  <si>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</si>
  <si>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</si>
  <si>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</si>
  <si>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</si>
  <si>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</si>
  <si>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</si>
  <si>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</si>
  <si>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</si>
  <si>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</si>
  <si>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</si>
  <si>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</si>
  <si>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</si>
  <si>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</si>
  <si>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</si>
  <si>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</si>
  <si>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</si>
  <si>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</si>
  <si>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</si>
  <si>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</si>
  <si>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</si>
  <si>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</si>
  <si>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</si>
  <si>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</si>
  <si>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</si>
  <si>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</si>
  <si>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</si>
  <si>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</si>
  <si>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</si>
  <si>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</si>
  <si>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</si>
  <si>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</si>
  <si>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</si>
  <si>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</si>
  <si>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</si>
  <si>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</si>
  <si>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</si>
  <si>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</si>
  <si>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</si>
  <si>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</si>
  <si>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</si>
  <si>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</si>
  <si>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</si>
  <si>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</si>
  <si>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</si>
  <si>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</si>
  <si>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</si>
  <si>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</si>
  <si>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</si>
  <si>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</si>
  <si>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</si>
  <si>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</si>
  <si>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</si>
  <si>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</si>
  <si>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</si>
  <si>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</si>
  <si>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</si>
  <si>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</si>
  <si>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</si>
  <si>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</si>
  <si>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</si>
  <si>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</si>
  <si>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</si>
  <si>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</si>
  <si>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</si>
  <si>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</si>
  <si>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</si>
  <si>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</si>
  <si>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</si>
  <si>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</si>
  <si>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</si>
  <si>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</si>
  <si>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</si>
  <si>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</si>
  <si>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</si>
  <si>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</si>
  <si>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</si>
  <si>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</si>
  <si>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</si>
  <si>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</si>
  <si>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</si>
  <si>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</si>
  <si>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</si>
  <si>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</si>
  <si>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</si>
  <si>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</si>
  <si>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</si>
  <si>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</si>
  <si>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</si>
  <si>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</si>
  <si>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</si>
  <si>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</si>
  <si>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</si>
  <si>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</si>
  <si>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</si>
  <si>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</si>
  <si>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</si>
  <si>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</si>
  <si>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</si>
  <si>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</si>
  <si>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</si>
  <si>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</si>
  <si>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</si>
  <si>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</si>
  <si>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</si>
  <si>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</si>
  <si>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</si>
  <si>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</si>
  <si>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</si>
  <si>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</si>
  <si>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</si>
  <si>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</si>
  <si>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</si>
  <si>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</si>
  <si>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</si>
  <si>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</si>
  <si>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</si>
  <si>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</si>
  <si>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</si>
  <si>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</si>
  <si>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</si>
  <si>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</si>
  <si>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</si>
  <si>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</si>
  <si>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</si>
  <si>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</si>
  <si>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</si>
  <si>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</si>
  <si>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</si>
  <si>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</si>
  <si>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</si>
  <si>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</si>
  <si>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</si>
  <si>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</si>
  <si>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</si>
  <si>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</si>
  <si>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</si>
  <si>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</si>
  <si>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</si>
  <si>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</si>
  <si>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</si>
  <si>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</si>
  <si>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</si>
  <si>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</si>
  <si>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</si>
  <si>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</si>
  <si>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</si>
  <si>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</si>
  <si>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</si>
  <si>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</si>
  <si>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</si>
  <si>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</si>
  <si>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</si>
  <si>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</si>
  <si>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</si>
  <si>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</si>
  <si>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</si>
  <si>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</si>
  <si>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</si>
  <si>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</si>
  <si>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</si>
  <si>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</si>
  <si>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</si>
  <si>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</si>
  <si>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</si>
  <si>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</si>
  <si>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</si>
  <si>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</si>
  <si>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</si>
  <si>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</si>
  <si>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</si>
  <si>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</si>
  <si>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</si>
  <si>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</si>
  <si>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</si>
  <si>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</si>
  <si>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</si>
  <si>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</si>
  <si>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</si>
  <si>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</si>
  <si>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</si>
  <si>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</si>
  <si>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</si>
  <si>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</si>
  <si>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</si>
  <si>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</si>
  <si>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</si>
  <si>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</si>
  <si>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</si>
  <si>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</si>
  <si>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</si>
  <si>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</si>
  <si>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</si>
  <si>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</si>
  <si>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</si>
  <si>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</si>
  <si>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</si>
  <si>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</si>
  <si>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</si>
  <si>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</si>
  <si>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</si>
  <si>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</si>
  <si>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</si>
  <si>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</si>
  <si>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</si>
  <si>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</si>
  <si>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</si>
  <si>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</si>
  <si>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</si>
  <si>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</si>
  <si>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</si>
  <si>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</si>
  <si>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</si>
  <si>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</si>
  <si>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</si>
  <si>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</si>
  <si>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</si>
  <si>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</si>
  <si>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</si>
  <si>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</si>
  <si>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</si>
  <si>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</si>
  <si>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</si>
  <si>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</si>
  <si>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</si>
  <si>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</si>
  <si>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</si>
  <si>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</si>
  <si>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</si>
  <si>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</si>
  <si>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</si>
  <si>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</si>
  <si>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</si>
  <si>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</si>
  <si>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</si>
  <si>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</si>
  <si>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</si>
  <si>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</si>
  <si>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</si>
  <si>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</si>
  <si>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</si>
  <si>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</si>
  <si>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</si>
  <si>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</si>
  <si>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</si>
  <si>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</si>
  <si>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</si>
  <si>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</si>
  <si>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</si>
  <si>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</si>
  <si>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</si>
  <si>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</si>
  <si>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</si>
  <si>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</si>
  <si>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</si>
  <si>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</si>
  <si>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</si>
  <si>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</si>
  <si>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</si>
  <si>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</si>
  <si>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</si>
  <si>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</si>
  <si>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</si>
  <si>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</si>
  <si>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</si>
  <si>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</si>
  <si>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</si>
  <si>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</si>
  <si>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</si>
  <si>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</si>
  <si>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</si>
  <si>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</si>
  <si>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</si>
  <si>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</si>
  <si>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</si>
  <si>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</si>
  <si>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</si>
  <si>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</si>
  <si>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</si>
  <si>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</si>
  <si>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</si>
  <si>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</si>
  <si>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</si>
  <si>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</si>
  <si>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</si>
  <si>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</si>
  <si>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</si>
  <si>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</si>
  <si>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</si>
  <si>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</si>
  <si>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</si>
  <si>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</si>
  <si>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</si>
  <si>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</si>
  <si>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</si>
  <si>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</si>
  <si>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</si>
  <si>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</si>
  <si>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</si>
  <si>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</si>
  <si>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</si>
  <si>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</si>
  <si>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</si>
  <si>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</si>
  <si>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</si>
  <si>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</si>
  <si>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</si>
  <si>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</si>
  <si>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</si>
  <si>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</si>
  <si>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</si>
  <si>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</si>
  <si>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</si>
  <si>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</si>
  <si>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</si>
  <si>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</si>
  <si>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</si>
  <si>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</si>
  <si>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</si>
  <si>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</si>
  <si>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</si>
  <si>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</si>
  <si>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</si>
  <si>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</si>
  <si>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</si>
  <si>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</si>
  <si>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</si>
  <si>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</si>
  <si>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</si>
  <si>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</si>
  <si>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</si>
  <si>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</si>
  <si>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</si>
  <si>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</si>
  <si>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</si>
  <si>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</si>
  <si>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</si>
  <si>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</si>
  <si>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</si>
  <si>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</si>
  <si>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</si>
  <si>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</si>
  <si>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</si>
  <si>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</si>
  <si>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</si>
  <si>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</si>
  <si>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</si>
  <si>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</si>
  <si>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</si>
  <si>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</si>
  <si>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</si>
  <si>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</si>
  <si>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</si>
  <si>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</si>
  <si>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</si>
  <si>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</si>
  <si>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</si>
  <si>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</si>
  <si>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</si>
  <si>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</si>
  <si>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</si>
  <si>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</si>
  <si>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</si>
  <si>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</si>
  <si>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</si>
  <si>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</si>
  <si>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</si>
  <si>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</si>
  <si>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</si>
  <si>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</si>
  <si>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</si>
  <si>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</si>
  <si>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</si>
  <si>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</si>
  <si>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</si>
  <si>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</si>
  <si>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</si>
  <si>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</si>
  <si>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</si>
  <si>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</si>
  <si>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</si>
  <si>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</si>
  <si>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</si>
  <si>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</si>
  <si>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</si>
  <si>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</si>
  <si>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</si>
  <si>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</si>
  <si>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</si>
  <si>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</si>
  <si>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</si>
  <si>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</si>
  <si>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</si>
  <si>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</si>
  <si>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</si>
  <si>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</si>
  <si>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</si>
  <si>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</si>
  <si>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</si>
  <si>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</si>
  <si>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</si>
  <si>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</si>
  <si>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</si>
  <si>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</si>
  <si>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</si>
  <si>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</si>
  <si>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</si>
  <si>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</si>
  <si>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</si>
  <si>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</si>
  <si>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</si>
  <si>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</si>
  <si>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</si>
  <si>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</si>
  <si>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</si>
  <si>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</si>
  <si>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</si>
  <si>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</si>
  <si>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</si>
  <si>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</si>
  <si>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</si>
  <si>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</si>
  <si>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</si>
  <si>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</si>
  <si>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</si>
  <si>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</si>
  <si>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</si>
  <si>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</si>
  <si>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</si>
  <si>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</si>
  <si>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</si>
  <si>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</si>
  <si>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</si>
  <si>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</si>
  <si>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</si>
  <si>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</si>
  <si>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</si>
  <si>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</si>
  <si>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</si>
  <si>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</si>
  <si>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</si>
  <si>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</si>
  <si>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</si>
  <si>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</si>
  <si>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</si>
  <si>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</si>
  <si>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</si>
  <si>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</si>
  <si>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</si>
  <si>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</si>
  <si>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</si>
  <si>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</si>
  <si>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</si>
  <si>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</si>
  <si>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</si>
  <si>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</si>
  <si>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</si>
  <si>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</si>
  <si>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</si>
  <si>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</si>
  <si>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</si>
  <si>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</si>
  <si>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</si>
  <si>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</si>
  <si>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</si>
  <si>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</si>
  <si>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</si>
  <si>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</si>
  <si>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</si>
  <si>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</si>
  <si>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</si>
  <si>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</si>
  <si>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</si>
  <si>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</si>
  <si>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</si>
  <si>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</si>
  <si>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</si>
  <si>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</si>
  <si>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</si>
  <si>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</si>
  <si>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</si>
  <si>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</si>
  <si>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</si>
  <si>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</si>
  <si>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</si>
  <si>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</si>
  <si>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</si>
  <si>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</si>
  <si>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</si>
  <si>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</si>
  <si>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</si>
  <si>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</si>
  <si>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</si>
  <si>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</si>
  <si>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</si>
  <si>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</si>
  <si>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</si>
  <si>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</si>
  <si>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</si>
  <si>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</si>
  <si>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</si>
  <si>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</si>
  <si>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</si>
  <si>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</si>
  <si>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</si>
  <si>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</si>
  <si>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</si>
  <si>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</si>
  <si>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</si>
  <si>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</si>
  <si>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</si>
  <si>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</si>
  <si>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</si>
  <si>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</si>
  <si>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</si>
  <si>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</si>
  <si>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</si>
  <si>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</si>
  <si>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</si>
  <si>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</si>
  <si>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</si>
  <si>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</si>
  <si>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</si>
  <si>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</si>
  <si>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</si>
  <si>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</si>
  <si>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</si>
  <si>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</si>
  <si>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</si>
  <si>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</si>
  <si>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</si>
  <si>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</si>
  <si>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</si>
  <si>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</si>
  <si>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</si>
  <si>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</si>
  <si>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</si>
  <si>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</si>
  <si>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</si>
  <si>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</si>
  <si>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</si>
  <si>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</si>
  <si>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</si>
  <si>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</si>
  <si>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</si>
  <si>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</si>
  <si>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</si>
  <si>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</si>
  <si>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</si>
  <si>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</si>
  <si>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</si>
  <si>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</si>
  <si>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</si>
  <si>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</si>
  <si>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</si>
  <si>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</si>
  <si>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</si>
  <si>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</si>
  <si>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</si>
  <si>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</si>
  <si>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</si>
  <si>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</si>
  <si>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</si>
  <si>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</si>
  <si>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</si>
  <si>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</si>
  <si>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</si>
  <si>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</si>
  <si>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</si>
  <si>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</si>
  <si>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</si>
  <si>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</si>
  <si>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</si>
  <si>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</si>
  <si>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</si>
  <si>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</si>
  <si>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</si>
  <si>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</si>
  <si>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</si>
  <si>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</si>
  <si>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</si>
  <si>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</si>
  <si>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</si>
  <si>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</si>
  <si>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</si>
  <si>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</si>
  <si>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</si>
  <si>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</si>
  <si>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</si>
  <si>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</si>
  <si>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</si>
  <si>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</si>
  <si>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</si>
  <si>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</si>
  <si>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</si>
  <si>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</si>
  <si>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</si>
  <si>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</si>
  <si>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</si>
  <si>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</si>
  <si>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</si>
  <si>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</si>
  <si>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</si>
  <si>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</si>
  <si>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</si>
  <si>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</si>
  <si>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</si>
  <si>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</si>
  <si>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</si>
  <si>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</si>
  <si>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</si>
  <si>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</si>
  <si>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</si>
  <si>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</si>
  <si>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</si>
  <si>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</si>
  <si>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</si>
  <si>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</si>
  <si>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</si>
  <si>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</si>
  <si>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</si>
  <si>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</si>
  <si>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</si>
  <si>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</si>
  <si>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</si>
  <si>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</si>
  <si>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</si>
  <si>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</si>
  <si>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</si>
  <si>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</si>
  <si>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</si>
  <si>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</si>
  <si>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</si>
  <si>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</si>
  <si>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</si>
  <si>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</si>
  <si>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</si>
  <si>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</si>
  <si>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</si>
  <si>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</si>
  <si>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</si>
  <si>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</si>
  <si>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</si>
  <si>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</si>
  <si>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</si>
  <si>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</si>
  <si>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</si>
  <si>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</si>
  <si>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</si>
  <si>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</si>
  <si>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</si>
  <si>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</si>
  <si>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</si>
  <si>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</si>
  <si>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</si>
  <si>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</si>
  <si>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</si>
  <si>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</si>
  <si>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</si>
  <si>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</si>
  <si>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</si>
  <si>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</si>
  <si>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</si>
  <si>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</si>
  <si>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</si>
  <si>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</si>
  <si>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</si>
  <si>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</si>
  <si>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</si>
  <si>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</si>
  <si>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</si>
  <si>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</si>
  <si>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</si>
  <si>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</si>
  <si>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</si>
  <si>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</si>
  <si>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</si>
  <si>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</si>
  <si>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</si>
  <si>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</si>
  <si>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</si>
  <si>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</si>
  <si>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</si>
  <si>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</si>
  <si>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</si>
  <si>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</si>
  <si>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</si>
  <si>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</si>
  <si>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</si>
  <si>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</si>
  <si>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</si>
  <si>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</si>
  <si>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</si>
  <si>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</si>
  <si>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</si>
  <si>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</si>
  <si>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</si>
  <si>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</si>
  <si>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</si>
  <si>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</si>
  <si>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</si>
  <si>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</si>
  <si>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</si>
  <si>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</si>
  <si>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</si>
  <si>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</si>
  <si>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</si>
  <si>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</si>
  <si>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</si>
  <si>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</si>
  <si>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</si>
  <si>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</si>
  <si>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</si>
  <si>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</si>
  <si>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</si>
  <si>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</si>
  <si>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</si>
  <si>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</si>
  <si>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</si>
  <si>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</si>
  <si>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</si>
  <si>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</si>
  <si>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</si>
  <si>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</si>
  <si>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</si>
  <si>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</si>
  <si>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</si>
  <si>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</si>
  <si>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</si>
  <si>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</si>
  <si>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</si>
  <si>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</si>
  <si>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</si>
  <si>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</si>
  <si>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</si>
  <si>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</si>
  <si>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</si>
  <si>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</si>
  <si>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</si>
  <si>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</si>
  <si>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</si>
  <si>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</si>
  <si>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</si>
  <si>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</si>
  <si>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</si>
  <si>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</si>
  <si>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</si>
  <si>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</si>
  <si>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</si>
  <si>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</si>
  <si>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</si>
  <si>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</si>
  <si>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</si>
  <si>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</si>
  <si>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</si>
  <si>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</si>
  <si>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</si>
  <si>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</si>
  <si>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</si>
  <si>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</si>
  <si>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</si>
  <si>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</si>
  <si>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</si>
  <si>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</si>
  <si>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</si>
  <si>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</si>
  <si>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</si>
  <si>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</si>
  <si>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</si>
  <si>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</si>
  <si>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</si>
  <si>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</si>
  <si>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</si>
  <si>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</si>
  <si>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</si>
  <si>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</si>
  <si>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</si>
  <si>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</si>
  <si>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</si>
  <si>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</si>
  <si>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</si>
  <si>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</si>
  <si>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</si>
  <si>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</si>
  <si>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</si>
  <si>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</si>
  <si>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</si>
  <si>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</si>
  <si>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</si>
  <si>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</si>
  <si>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</si>
  <si>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</si>
  <si>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</si>
  <si>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</si>
  <si>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</si>
  <si>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</si>
  <si>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</si>
  <si>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</si>
  <si>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</si>
  <si>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</si>
  <si>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</si>
  <si>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</si>
  <si>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</si>
  <si>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</si>
  <si>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</si>
  <si>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</si>
  <si>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</si>
  <si>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</si>
  <si>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</si>
  <si>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</si>
  <si>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</si>
  <si>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</si>
  <si>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</si>
  <si>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</si>
  <si>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</si>
  <si>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</si>
  <si>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</si>
  <si>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</si>
  <si>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</si>
  <si>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</si>
  <si>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</si>
  <si>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</si>
  <si>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</si>
  <si>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</si>
  <si>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</si>
  <si>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</si>
  <si>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</si>
  <si>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</si>
  <si>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</si>
  <si>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</si>
  <si>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</si>
  <si>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</si>
  <si>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</si>
  <si>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</si>
  <si>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</si>
  <si>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</si>
  <si>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</si>
  <si>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</si>
  <si>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</si>
  <si>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</si>
  <si>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</si>
  <si>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</si>
  <si>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</si>
  <si>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</si>
  <si>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</si>
  <si>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</si>
  <si>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</si>
  <si>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</si>
  <si>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</si>
  <si>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</si>
  <si>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</si>
  <si>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</si>
  <si>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</si>
  <si>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</si>
  <si>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</si>
  <si>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</si>
  <si>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</si>
  <si>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</si>
  <si>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</si>
  <si>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</si>
  <si>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</si>
  <si>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</si>
  <si>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</si>
  <si>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</si>
  <si>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</si>
  <si>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</si>
  <si>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</si>
  <si>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</si>
  <si>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</si>
  <si>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</si>
  <si>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</si>
  <si>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</si>
  <si>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</si>
  <si>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</si>
  <si>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</si>
  <si>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</si>
  <si>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</si>
  <si>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</si>
  <si>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</si>
  <si>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</si>
  <si>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</si>
  <si>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</si>
  <si>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</si>
  <si>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</si>
  <si>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</si>
  <si>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</si>
  <si>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</si>
  <si>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</si>
  <si>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</si>
  <si>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</si>
  <si>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</si>
  <si>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</si>
  <si>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</si>
  <si>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</si>
  <si>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</si>
  <si>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</si>
  <si>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</si>
  <si>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</si>
  <si>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</si>
  <si>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</si>
  <si>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</si>
  <si>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</si>
  <si>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</si>
  <si>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</si>
  <si>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</si>
  <si>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</si>
  <si>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</si>
  <si>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</si>
  <si>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</si>
  <si>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</si>
  <si>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</si>
  <si>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</si>
  <si>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</si>
  <si>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</si>
  <si>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</si>
  <si>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</si>
  <si>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</si>
  <si>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</si>
  <si>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</si>
  <si>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</si>
  <si>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</si>
  <si>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</si>
  <si>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</si>
  <si>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</si>
  <si>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</si>
  <si>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</si>
  <si>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</si>
  <si>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</si>
  <si>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</si>
  <si>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</si>
  <si>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</si>
  <si>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</si>
  <si>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</si>
  <si>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</si>
  <si>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</si>
  <si>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</si>
  <si>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</si>
  <si>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</si>
  <si>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</si>
  <si>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</si>
  <si>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</si>
  <si>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</si>
  <si>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</si>
  <si>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</si>
  <si>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</si>
  <si>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</si>
  <si>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</si>
  <si>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</si>
  <si>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</si>
  <si>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</si>
  <si>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</si>
  <si>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</si>
  <si>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</si>
  <si>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</si>
  <si>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</si>
  <si>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</si>
  <si>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</si>
  <si>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</si>
  <si>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</si>
  <si>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</si>
  <si>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</si>
  <si>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</si>
  <si>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</si>
  <si>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</si>
  <si>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</si>
  <si>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</si>
  <si>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</si>
  <si>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</si>
  <si>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</si>
  <si>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</si>
  <si>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</si>
  <si>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</si>
  <si>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</si>
  <si>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</si>
  <si>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</si>
  <si>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</si>
  <si>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</si>
  <si>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</si>
  <si>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</si>
  <si>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</si>
  <si>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</si>
  <si>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</si>
  <si>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</si>
  <si>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</si>
  <si>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</si>
  <si>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</si>
  <si>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</si>
  <si>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</si>
  <si>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</si>
  <si>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</si>
  <si>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</si>
  <si>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</si>
  <si>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</si>
  <si>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</si>
  <si>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</si>
  <si>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</si>
  <si>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</si>
  <si>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</si>
  <si>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</si>
  <si>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</si>
  <si>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</si>
  <si>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</si>
  <si>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</si>
  <si>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</si>
  <si>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</si>
  <si>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</si>
  <si>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</si>
  <si>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</si>
  <si>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</si>
  <si>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</si>
  <si>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</si>
  <si>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</si>
  <si>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</si>
  <si>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</si>
  <si>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</si>
  <si>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</si>
  <si>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</si>
  <si>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</si>
  <si>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</si>
  <si>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</si>
  <si>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</si>
  <si>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</si>
  <si>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</si>
  <si>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</si>
  <si>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</si>
  <si>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</si>
  <si>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</si>
  <si>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</si>
  <si>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</si>
  <si>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</si>
  <si>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</si>
  <si>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</si>
  <si>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</si>
  <si>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</si>
  <si>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</si>
  <si>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</si>
  <si>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</si>
  <si>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</si>
  <si>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</si>
  <si>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</si>
  <si>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</si>
  <si>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</si>
  <si>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</si>
  <si>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</si>
  <si>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</si>
  <si>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</si>
  <si>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</si>
  <si>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</si>
  <si>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</si>
  <si>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</si>
  <si>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</si>
  <si>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</si>
  <si>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</si>
  <si>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</si>
  <si>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</si>
  <si>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</si>
  <si>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</si>
  <si>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</si>
  <si>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</si>
  <si>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</si>
  <si>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</si>
  <si>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</si>
  <si>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</si>
  <si>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</si>
  <si>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</si>
  <si>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</si>
  <si>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</si>
  <si>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</si>
  <si>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</si>
  <si>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</si>
  <si>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</si>
  <si>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</si>
  <si>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</si>
  <si>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</si>
  <si>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</si>
  <si>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</si>
  <si>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</si>
  <si>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</si>
  <si>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</si>
  <si>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</si>
  <si>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</si>
  <si>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</si>
  <si>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</si>
  <si>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</si>
  <si>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</si>
  <si>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</si>
  <si>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</si>
  <si>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</si>
  <si>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</si>
  <si>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</si>
  <si>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</si>
  <si>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</si>
  <si>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</si>
  <si>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</si>
  <si>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</si>
  <si>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</si>
  <si>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</si>
  <si>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</si>
  <si>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</si>
  <si>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</si>
  <si>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</si>
  <si>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</si>
  <si>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</si>
  <si>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</si>
  <si>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</si>
  <si>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</si>
  <si>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</si>
  <si>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</si>
  <si>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</si>
  <si>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</si>
  <si>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</si>
  <si>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</si>
  <si>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</si>
  <si>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</si>
  <si>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</si>
  <si>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</si>
  <si>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</si>
  <si>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</si>
  <si>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</si>
  <si>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</si>
  <si>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</si>
  <si>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</si>
  <si>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</si>
  <si>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</si>
  <si>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</si>
  <si>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</si>
  <si>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</si>
  <si>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</si>
  <si>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</si>
  <si>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</si>
  <si>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</si>
  <si>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</si>
  <si>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</si>
  <si>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</si>
  <si>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</si>
  <si>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</si>
  <si>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</si>
  <si>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</si>
  <si>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</si>
  <si>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</si>
  <si>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</si>
  <si>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</si>
  <si>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</si>
  <si>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</si>
  <si>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</si>
  <si>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</si>
  <si>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</si>
  <si>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</si>
  <si>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</si>
  <si>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</si>
  <si>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</si>
  <si>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</si>
  <si>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</si>
  <si>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</si>
  <si>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</si>
  <si>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</si>
  <si>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</si>
  <si>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</si>
  <si>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</si>
  <si>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</si>
  <si>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</si>
  <si>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</si>
  <si>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</si>
  <si>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</si>
  <si>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</si>
  <si>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</si>
  <si>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</si>
  <si>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</si>
  <si>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</si>
  <si>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</si>
  <si>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</si>
  <si>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</si>
  <si>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</si>
  <si>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</si>
  <si>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</si>
  <si>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</si>
  <si>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</si>
  <si>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</si>
  <si>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</si>
  <si>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</si>
  <si>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</si>
  <si>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</si>
  <si>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</si>
  <si>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</si>
  <si>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</si>
  <si>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</si>
  <si>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</si>
  <si>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</si>
  <si>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</si>
  <si>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</si>
  <si>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</si>
  <si>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</si>
  <si>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</si>
  <si>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</si>
  <si>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</si>
  <si>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</si>
  <si>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</si>
  <si>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</si>
  <si>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</si>
  <si>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</si>
  <si>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</si>
  <si>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</si>
  <si>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</si>
  <si>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</si>
  <si>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</si>
  <si>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</si>
  <si>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</si>
  <si>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</si>
  <si>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</si>
  <si>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</si>
  <si>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</si>
  <si>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</si>
  <si>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</si>
  <si>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</si>
  <si>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</si>
  <si>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</si>
  <si>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</si>
  <si>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</si>
  <si>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</si>
  <si>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</si>
  <si>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</si>
  <si>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</si>
  <si>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</si>
  <si>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</si>
  <si>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</si>
  <si>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</si>
  <si>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</si>
  <si>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</si>
  <si>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</si>
  <si>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</si>
  <si>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</si>
  <si>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</si>
  <si>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</si>
  <si>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</si>
  <si>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</si>
  <si>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</si>
  <si>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</si>
  <si>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</si>
  <si>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</si>
  <si>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</si>
  <si>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</si>
  <si>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</si>
  <si>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</si>
  <si>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</si>
  <si>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</si>
  <si>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</si>
  <si>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</si>
  <si>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</si>
  <si>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</si>
  <si>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</si>
  <si>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</si>
  <si>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</si>
  <si>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</si>
  <si>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</si>
  <si>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</si>
  <si>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</si>
  <si>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</si>
  <si>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</si>
  <si>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</si>
  <si>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</si>
  <si>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</si>
  <si>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</si>
  <si>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</si>
  <si>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</si>
  <si>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</si>
  <si>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</si>
  <si>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</si>
  <si>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</si>
  <si>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</si>
  <si>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</si>
  <si>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</si>
  <si>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</si>
  <si>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</si>
  <si>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</si>
  <si>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</si>
  <si>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</si>
  <si>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</si>
  <si>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</si>
  <si>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</si>
  <si>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</si>
  <si>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</si>
  <si>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</si>
  <si>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</si>
  <si>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</si>
  <si>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</si>
  <si>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</si>
  <si>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</si>
  <si>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</si>
  <si>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</si>
  <si>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</si>
  <si>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</si>
  <si>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</si>
  <si>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</si>
  <si>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</si>
  <si>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</si>
  <si>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</si>
  <si>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</si>
  <si>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</si>
  <si>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</si>
  <si>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</si>
  <si>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</si>
  <si>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</si>
  <si>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</si>
  <si>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</si>
  <si>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</si>
  <si>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</si>
  <si>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</si>
  <si>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</si>
  <si>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</si>
  <si>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</si>
  <si>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</si>
  <si>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</si>
  <si>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</si>
  <si>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</si>
  <si>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</si>
  <si>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</si>
  <si>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</si>
  <si>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</si>
  <si>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</si>
  <si>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</si>
  <si>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</si>
  <si>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</si>
  <si>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</si>
  <si>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</si>
  <si>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</si>
  <si>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</si>
  <si>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</si>
  <si>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</si>
  <si>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</si>
  <si>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</si>
  <si>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</si>
  <si>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</si>
  <si>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</si>
  <si>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</si>
  <si>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</si>
  <si>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</si>
  <si>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</si>
  <si>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</si>
  <si>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</si>
  <si>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</si>
  <si>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</si>
  <si>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</si>
  <si>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</si>
  <si>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</si>
  <si>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</si>
  <si>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</si>
  <si>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</si>
  <si>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</si>
  <si>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</si>
  <si>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</si>
  <si>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</si>
  <si>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</si>
  <si>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</si>
  <si>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</si>
  <si>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</si>
  <si>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</si>
  <si>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</si>
  <si>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</si>
  <si>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</si>
  <si>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</si>
  <si>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</si>
  <si>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</si>
  <si>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</si>
  <si>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</si>
  <si>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</si>
  <si>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</si>
  <si>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</si>
  <si>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</si>
  <si>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</si>
  <si>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</si>
  <si>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</si>
  <si>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</si>
  <si>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</si>
  <si>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</si>
  <si>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</si>
  <si>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</si>
  <si>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</si>
  <si>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</si>
  <si>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</si>
  <si>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</si>
  <si>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</si>
  <si>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</si>
  <si>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</si>
  <si>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</si>
  <si>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</si>
  <si>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</si>
  <si>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</si>
  <si>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</si>
  <si>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</si>
  <si>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</si>
  <si>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</si>
  <si>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</si>
  <si>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</si>
  <si>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</si>
  <si>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</si>
  <si>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</si>
  <si>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</si>
  <si>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</si>
  <si>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</si>
  <si>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</si>
  <si>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</si>
  <si>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</si>
  <si>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</si>
  <si>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</si>
  <si>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</si>
  <si>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</si>
  <si>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</si>
  <si>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</si>
  <si>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</si>
  <si>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</si>
  <si>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</si>
  <si>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</si>
  <si>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</si>
  <si>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</si>
  <si>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</si>
  <si>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</si>
  <si>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</si>
  <si>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</si>
  <si>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</si>
  <si>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</si>
  <si>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</si>
  <si>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</si>
  <si>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</si>
  <si>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</si>
  <si>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</si>
  <si>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</si>
  <si>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</si>
  <si>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</si>
  <si>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</si>
  <si>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</si>
  <si>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</si>
  <si>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</si>
  <si>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</si>
  <si>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</si>
  <si>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</si>
  <si>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</si>
  <si>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</si>
  <si>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</si>
  <si>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</si>
  <si>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</si>
  <si>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</si>
  <si>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</si>
  <si>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</si>
  <si>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</si>
  <si>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</si>
  <si>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</si>
  <si>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</si>
  <si>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</si>
  <si>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</si>
  <si>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</si>
  <si>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</si>
  <si>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</si>
  <si>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</si>
  <si>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</si>
  <si>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</si>
  <si>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</si>
  <si>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</si>
  <si>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</si>
  <si>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</si>
  <si>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</si>
  <si>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</si>
  <si>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</si>
  <si>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</si>
  <si>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</si>
  <si>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</si>
  <si>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</si>
  <si>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</si>
  <si>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</si>
  <si>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</si>
  <si>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</si>
  <si>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</si>
  <si>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</si>
  <si>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</si>
  <si>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</si>
  <si>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</si>
  <si>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</si>
  <si>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</si>
  <si>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</si>
  <si>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</si>
  <si>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</si>
  <si>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</si>
  <si>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</si>
  <si>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</si>
  <si>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</si>
  <si>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</si>
  <si>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</si>
  <si>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</si>
  <si>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</si>
  <si>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</si>
  <si>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</si>
  <si>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</si>
  <si>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</si>
  <si>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</si>
  <si>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</si>
  <si>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</si>
  <si>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</si>
  <si>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</si>
  <si>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</si>
  <si>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</si>
  <si>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</si>
  <si>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</si>
  <si>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</si>
  <si>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</si>
  <si>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</si>
  <si>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</si>
  <si>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</si>
  <si>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</si>
  <si>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</si>
  <si>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</si>
  <si>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</si>
  <si>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</si>
  <si>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</si>
  <si>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</si>
  <si>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</si>
  <si>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</si>
  <si>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</si>
  <si>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</si>
  <si>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</si>
  <si>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</si>
  <si>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</si>
  <si>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</si>
  <si>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</si>
  <si>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</si>
  <si>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</si>
  <si>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</si>
  <si>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</si>
  <si>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</si>
  <si>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</si>
  <si>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</si>
  <si>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</si>
  <si>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</si>
  <si>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</si>
  <si>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</si>
  <si>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</si>
  <si>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</si>
  <si>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</si>
  <si>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</si>
  <si>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</si>
  <si>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</si>
  <si>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</si>
  <si>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</si>
  <si>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</si>
  <si>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</si>
  <si>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</si>
  <si>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</si>
  <si>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</si>
  <si>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</si>
  <si>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</si>
  <si>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</si>
  <si>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</si>
  <si>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</si>
  <si>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</si>
  <si>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</si>
  <si>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</si>
  <si>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</si>
  <si>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</si>
  <si>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</si>
  <si>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</si>
  <si>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</si>
  <si>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</si>
  <si>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</si>
  <si>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</si>
  <si>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</si>
  <si>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</si>
  <si>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</si>
  <si>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</si>
  <si>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</si>
  <si>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</si>
  <si>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</si>
  <si>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</si>
  <si>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</si>
  <si>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</si>
  <si>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</si>
  <si>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</si>
  <si>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</si>
  <si>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</si>
  <si>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</si>
  <si>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</si>
  <si>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</si>
  <si>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</si>
  <si>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</si>
  <si>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</si>
  <si>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</si>
  <si>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</si>
  <si>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</si>
  <si>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</si>
  <si>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</si>
  <si>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</si>
  <si>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</si>
  <si>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</si>
  <si>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</si>
  <si>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</si>
  <si>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</si>
  <si>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</si>
  <si>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</si>
  <si>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</si>
  <si>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</si>
  <si>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</si>
  <si>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</si>
  <si>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</si>
  <si>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</si>
  <si>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</si>
  <si>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</si>
  <si>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</si>
  <si>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</si>
  <si>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</si>
  <si>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</si>
  <si>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</si>
  <si>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</si>
  <si>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</si>
  <si>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</si>
  <si>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</si>
  <si>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</si>
  <si>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</si>
  <si>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</si>
  <si>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</si>
  <si>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</si>
  <si>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</si>
  <si>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</si>
  <si>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</si>
  <si>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</si>
  <si>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</si>
  <si>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</si>
  <si>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</si>
  <si>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</si>
  <si>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</si>
  <si>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</si>
  <si>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</si>
  <si>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</si>
  <si>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</si>
  <si>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</si>
  <si>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</si>
  <si>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</si>
  <si>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</si>
  <si>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</si>
  <si>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</si>
  <si>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</si>
  <si>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</si>
  <si>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</si>
  <si>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</si>
  <si>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</si>
  <si>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</si>
  <si>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</si>
  <si>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</si>
  <si>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</si>
  <si>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</si>
  <si>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</si>
  <si>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</si>
  <si>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</si>
  <si>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</si>
  <si>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</si>
  <si>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</si>
  <si>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</si>
  <si>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</si>
  <si>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</si>
  <si>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</si>
  <si>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</si>
  <si>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</si>
  <si>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</si>
  <si>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</si>
  <si>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</si>
  <si>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</si>
  <si>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</si>
  <si>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</si>
  <si>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</si>
  <si>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</si>
  <si>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</si>
  <si>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</si>
  <si>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</si>
  <si>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</si>
  <si>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</si>
  <si>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</si>
  <si>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</si>
  <si>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</si>
  <si>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</si>
  <si>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</si>
  <si>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</si>
  <si>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</si>
  <si>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</si>
  <si>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</si>
  <si>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</si>
  <si>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</si>
  <si>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</si>
  <si>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</si>
  <si>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</si>
  <si>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</si>
  <si>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</si>
  <si>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</si>
  <si>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</si>
  <si>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</si>
  <si>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</si>
  <si>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</si>
  <si>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</si>
  <si>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</si>
  <si>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</si>
  <si>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</si>
  <si>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</si>
  <si>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</si>
  <si>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</si>
  <si>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</si>
  <si>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</si>
  <si>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</si>
  <si>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</si>
  <si>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</si>
  <si>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</si>
  <si>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</si>
  <si>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</si>
  <si>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</si>
  <si>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</si>
  <si>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</si>
  <si>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</si>
  <si>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</si>
  <si>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</si>
  <si>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</si>
  <si>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</si>
  <si>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</si>
  <si>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</si>
  <si>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</si>
  <si>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</si>
  <si>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</si>
  <si>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</si>
  <si>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</si>
  <si>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</si>
  <si>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</si>
  <si>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</si>
  <si>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</si>
  <si>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</si>
  <si>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</si>
  <si>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</si>
  <si>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</si>
  <si>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</si>
  <si>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</si>
  <si>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</si>
  <si>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</si>
  <si>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</si>
  <si>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</si>
  <si>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</si>
  <si>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</si>
  <si>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</si>
  <si>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</si>
  <si>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</si>
  <si>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</si>
  <si>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</si>
  <si>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</si>
  <si>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</si>
  <si>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</si>
  <si>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</si>
  <si>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</si>
  <si>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</si>
  <si>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</si>
  <si>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</si>
  <si>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</si>
  <si>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</si>
  <si>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</si>
  <si>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</si>
  <si>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</si>
  <si>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</si>
  <si>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</si>
  <si>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</si>
  <si>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</si>
  <si>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</si>
  <si>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</si>
  <si>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</si>
  <si>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</si>
  <si>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</si>
  <si>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</si>
  <si>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</si>
  <si>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</si>
  <si>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</si>
  <si>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</si>
  <si>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</si>
  <si>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</si>
  <si>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</si>
  <si>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</si>
  <si>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</si>
  <si>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</si>
  <si>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</si>
  <si>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</si>
  <si>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</si>
  <si>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</si>
  <si>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</si>
  <si>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</si>
  <si>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</si>
  <si>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</si>
  <si>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</si>
  <si>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</si>
  <si>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</si>
  <si>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</si>
  <si>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</si>
  <si>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</si>
  <si>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</si>
  <si>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</si>
  <si>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</si>
  <si>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</si>
  <si>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</si>
  <si>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</si>
  <si>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</si>
  <si>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</si>
  <si>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</si>
  <si>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</si>
  <si>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</si>
  <si>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</si>
  <si>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</si>
  <si>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</si>
  <si>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</si>
  <si>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</si>
  <si>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</si>
  <si>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</si>
  <si>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</si>
  <si>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</si>
  <si>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</si>
  <si>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</si>
  <si>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</si>
  <si>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</si>
  <si>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</si>
  <si>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</si>
  <si>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</si>
  <si>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</si>
  <si>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</si>
  <si>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</si>
  <si>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</si>
  <si>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</si>
  <si>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</si>
  <si>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</si>
  <si>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</si>
  <si>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</si>
  <si>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</si>
  <si>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</si>
  <si>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</si>
  <si>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</si>
  <si>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</si>
  <si>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</si>
  <si>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</si>
  <si>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</si>
  <si>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</si>
  <si>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</si>
  <si>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</si>
  <si>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</si>
  <si>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</si>
  <si>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</si>
  <si>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</si>
  <si>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</si>
  <si>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</si>
  <si>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</si>
  <si>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</si>
  <si>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</si>
  <si>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</si>
  <si>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</si>
  <si>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</si>
  <si>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</si>
  <si>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</si>
  <si>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</si>
  <si>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</si>
  <si>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</si>
  <si>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</si>
  <si>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</si>
  <si>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</si>
  <si>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</si>
  <si>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</si>
  <si>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</si>
  <si>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</si>
  <si>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</si>
  <si>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</si>
  <si>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</si>
  <si>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</si>
  <si>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</si>
  <si>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</si>
  <si>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</si>
  <si>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</si>
  <si>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</si>
  <si>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</si>
  <si>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</si>
  <si>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</si>
  <si>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</si>
  <si>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</si>
  <si>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</si>
  <si>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</si>
  <si>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</si>
  <si>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</si>
  <si>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</si>
  <si>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</si>
  <si>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</si>
  <si>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</si>
  <si>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</si>
  <si>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</si>
  <si>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</si>
  <si>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</si>
  <si>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</si>
  <si>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</si>
  <si>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</si>
  <si>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</si>
  <si>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</si>
  <si>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</si>
  <si>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</si>
  <si>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</si>
  <si>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</si>
  <si>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</si>
  <si>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</si>
  <si>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</si>
  <si>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</si>
  <si>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</si>
  <si>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</si>
  <si>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</si>
  <si>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</si>
  <si>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</si>
  <si>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</si>
  <si>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</si>
  <si>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</si>
  <si>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</si>
  <si>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</si>
  <si>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</si>
  <si>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</si>
  <si>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</si>
  <si>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</si>
  <si>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</si>
  <si>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</si>
  <si>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</si>
  <si>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</si>
  <si>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</si>
  <si>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</si>
  <si>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</si>
  <si>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</si>
  <si>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</si>
  <si>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</si>
  <si>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</si>
  <si>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</si>
  <si>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</si>
  <si>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</si>
  <si>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</si>
  <si>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</si>
  <si>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</si>
  <si>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</si>
  <si>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</si>
  <si>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</si>
  <si>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</si>
  <si>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</si>
  <si>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</si>
  <si>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</si>
  <si>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</si>
  <si>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</si>
  <si>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</si>
  <si>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</si>
  <si>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</si>
  <si>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</si>
  <si>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</si>
  <si>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</si>
  <si>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</si>
  <si>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</si>
  <si>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</si>
  <si>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</si>
  <si>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</si>
  <si>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</si>
  <si>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</si>
  <si>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</si>
  <si>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</si>
  <si>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</si>
  <si>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</si>
  <si>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</si>
  <si>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</si>
  <si>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</si>
  <si>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</si>
  <si>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</si>
  <si>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</si>
  <si>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</si>
  <si>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</si>
  <si>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</si>
  <si>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</si>
  <si>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</si>
  <si>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</si>
  <si>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</si>
  <si>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</si>
  <si>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</si>
  <si>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</si>
  <si>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</si>
  <si>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</si>
  <si>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</si>
  <si>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</si>
  <si>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</si>
  <si>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</si>
  <si>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</si>
  <si>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</si>
  <si>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</si>
  <si>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</si>
  <si>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</si>
  <si>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</si>
  <si>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</si>
  <si>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</si>
  <si>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</si>
  <si>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</si>
  <si>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</si>
  <si>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</si>
  <si>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</si>
  <si>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</si>
  <si>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</si>
  <si>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</si>
  <si>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</si>
  <si>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</si>
  <si>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</si>
  <si>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</si>
  <si>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</si>
  <si>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</si>
  <si>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</si>
  <si>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</si>
  <si>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</si>
  <si>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</si>
  <si>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</si>
  <si>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</si>
  <si>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</si>
  <si>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</si>
  <si>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</si>
  <si>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</si>
  <si>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</si>
  <si>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</si>
  <si>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</si>
  <si>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</si>
  <si>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</si>
  <si>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</si>
  <si>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</si>
  <si>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</si>
  <si>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</si>
  <si>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</si>
  <si>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</si>
  <si>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</si>
  <si>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</si>
  <si>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</si>
  <si>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</si>
  <si>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</si>
  <si>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</si>
  <si>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</si>
  <si>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</si>
  <si>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</si>
  <si>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</si>
  <si>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</si>
  <si>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</si>
  <si>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</si>
  <si>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</si>
  <si>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</si>
  <si>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</si>
  <si>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</si>
  <si>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</si>
  <si>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</si>
  <si>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</si>
  <si>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</si>
  <si>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</si>
  <si>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</si>
  <si>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</si>
  <si>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</si>
  <si>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</si>
  <si>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</si>
  <si>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</si>
  <si>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</si>
  <si>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</si>
  <si>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</si>
  <si>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</si>
  <si>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</si>
  <si>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</si>
  <si>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</si>
  <si>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</si>
  <si>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</si>
  <si>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</si>
  <si>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</si>
  <si>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</si>
  <si>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</si>
  <si>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</si>
  <si>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</si>
  <si>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</si>
  <si>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</si>
  <si>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</si>
  <si>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</si>
  <si>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</si>
  <si>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</si>
  <si>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</si>
  <si>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</si>
  <si>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</si>
  <si>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</si>
  <si>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</si>
  <si>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</si>
  <si>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</si>
  <si>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</si>
  <si>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</si>
  <si>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</si>
  <si>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</si>
  <si>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</si>
  <si>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</si>
  <si>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</si>
  <si>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</si>
  <si>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</si>
  <si>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</si>
  <si>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</si>
  <si>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</si>
  <si>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</si>
  <si>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</si>
  <si>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</si>
  <si>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</si>
  <si>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</si>
  <si>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</si>
  <si>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</si>
  <si>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</si>
  <si>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</si>
  <si>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</si>
  <si>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</si>
  <si>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</si>
  <si>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</si>
  <si>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</si>
  <si>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</si>
  <si>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</si>
  <si>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</si>
  <si>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</si>
  <si>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</si>
  <si>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</si>
  <si>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</si>
  <si>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</si>
  <si>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</si>
  <si>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</si>
  <si>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</si>
  <si>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</si>
  <si>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</si>
  <si>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</si>
  <si>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</si>
  <si>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</si>
  <si>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</si>
  <si>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</si>
  <si>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</si>
  <si>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</si>
  <si>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</si>
  <si>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</si>
  <si>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</si>
  <si>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</si>
  <si>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</si>
  <si>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</si>
  <si>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</si>
  <si>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</si>
  <si>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</si>
  <si>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</si>
  <si>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</si>
  <si>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</si>
  <si>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</si>
  <si>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</si>
  <si>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</si>
  <si>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</si>
  <si>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</si>
  <si>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</si>
  <si>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</si>
  <si>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</si>
  <si>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</si>
  <si>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</si>
  <si>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</si>
  <si>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</si>
  <si>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</si>
  <si>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</si>
  <si>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</si>
  <si>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</si>
  <si>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</si>
  <si>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</si>
  <si>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</si>
  <si>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</si>
  <si>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</si>
  <si>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</si>
  <si>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</si>
  <si>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</si>
  <si>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</si>
  <si>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</si>
  <si>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</si>
  <si>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</si>
  <si>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</si>
  <si>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</si>
  <si>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</si>
  <si>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</si>
  <si>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</si>
  <si>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</si>
  <si>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</si>
  <si>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</si>
  <si>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</si>
  <si>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</si>
  <si>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</si>
  <si>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</si>
  <si>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</si>
  <si>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</si>
  <si>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</si>
  <si>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</si>
  <si>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</si>
  <si>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</si>
  <si>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</si>
  <si>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</si>
  <si>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</si>
  <si>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</si>
  <si>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</si>
  <si>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</si>
  <si>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</si>
  <si>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</si>
  <si>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</si>
  <si>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</si>
  <si>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</si>
  <si>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</si>
  <si>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</si>
  <si>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</si>
  <si>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</si>
  <si>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</si>
  <si>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</si>
  <si>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</si>
  <si>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</si>
  <si>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</si>
  <si>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</si>
  <si>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</si>
  <si>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</si>
  <si>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</si>
  <si>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</si>
  <si>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</si>
  <si>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</si>
  <si>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</si>
  <si>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</si>
  <si>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</si>
  <si>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</si>
  <si>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</si>
  <si>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</si>
  <si>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</si>
  <si>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</si>
  <si>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</si>
  <si>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</si>
  <si>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</si>
  <si>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</si>
  <si>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</si>
  <si>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</si>
  <si>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</si>
  <si>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</si>
  <si>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</si>
  <si>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</si>
  <si>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</si>
  <si>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</si>
  <si>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</si>
  <si>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</si>
  <si>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</si>
  <si>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</si>
  <si>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</si>
  <si>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</si>
  <si>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</si>
  <si>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</si>
  <si>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</si>
  <si>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</si>
  <si>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</si>
  <si>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</si>
  <si>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</si>
  <si>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</si>
  <si>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</si>
  <si>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</si>
  <si>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</si>
  <si>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</si>
  <si>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</si>
  <si>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</si>
  <si>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</si>
  <si>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</si>
  <si>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</si>
  <si>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</si>
  <si>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</si>
  <si>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</si>
  <si>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</si>
  <si>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</si>
  <si>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</si>
  <si>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</si>
  <si>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</si>
  <si>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</si>
  <si>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</si>
  <si>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</si>
  <si>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</si>
  <si>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</si>
  <si>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</si>
  <si>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</si>
  <si>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</si>
  <si>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</si>
  <si>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</si>
  <si>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</si>
  <si>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</si>
  <si>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</si>
  <si>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</si>
  <si>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</si>
  <si>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</si>
  <si>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</si>
  <si>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</si>
  <si>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</si>
  <si>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</si>
  <si>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</si>
  <si>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</si>
  <si>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</si>
  <si>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</si>
  <si>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</si>
  <si>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</si>
  <si>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</si>
  <si>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</si>
  <si>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</si>
  <si>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</si>
  <si>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</si>
  <si>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</si>
  <si>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</si>
  <si>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</si>
  <si>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</si>
  <si>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</si>
  <si>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</si>
  <si>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</si>
  <si>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</si>
  <si>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</si>
  <si>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</si>
  <si>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</si>
  <si>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</si>
  <si>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</si>
  <si>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</si>
  <si>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</si>
  <si>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</si>
  <si>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</si>
  <si>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</si>
  <si>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</si>
  <si>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</si>
  <si>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</si>
  <si>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</si>
  <si>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</si>
  <si>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</si>
  <si>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</si>
  <si>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</si>
  <si>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</si>
  <si>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</si>
  <si>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</si>
  <si>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</si>
  <si>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</si>
  <si>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</si>
  <si>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</si>
  <si>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</si>
  <si>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</si>
  <si>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</si>
  <si>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</si>
  <si>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</si>
  <si>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</si>
  <si>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</si>
  <si>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</si>
  <si>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</si>
  <si>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</si>
  <si>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</si>
  <si>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</si>
  <si>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</si>
  <si>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</si>
  <si>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</si>
  <si>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</si>
  <si>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</si>
  <si>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</si>
  <si>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</si>
  <si>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</si>
  <si>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</si>
  <si>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</si>
  <si>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</si>
  <si>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</si>
  <si>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</si>
  <si>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</si>
  <si>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</si>
  <si>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</si>
  <si>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</si>
  <si>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</si>
  <si>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</si>
  <si>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</si>
  <si>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</si>
  <si>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</si>
  <si>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</si>
  <si>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</si>
  <si>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</si>
  <si>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</si>
  <si>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</si>
  <si>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</si>
  <si>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</si>
  <si>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</si>
  <si>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</si>
  <si>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</si>
  <si>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</si>
  <si>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</si>
  <si>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</si>
  <si>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</si>
  <si>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</si>
  <si>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</si>
  <si>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</si>
  <si>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</si>
  <si>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</si>
  <si>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</si>
  <si>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</si>
  <si>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</si>
  <si>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</si>
  <si>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</si>
  <si>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</si>
  <si>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</si>
  <si>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</si>
  <si>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</si>
  <si>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</si>
  <si>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</si>
  <si>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</si>
  <si>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</si>
  <si>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</si>
  <si>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</si>
  <si>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</si>
  <si>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</si>
  <si>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</si>
  <si>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</si>
  <si>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</si>
  <si>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</si>
  <si>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</si>
  <si>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</si>
  <si>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</si>
  <si>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</si>
  <si>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</si>
  <si>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</si>
  <si>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</si>
  <si>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</si>
  <si>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</si>
  <si>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</si>
  <si>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</si>
  <si>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</si>
  <si>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</si>
  <si>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</si>
  <si>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</si>
  <si>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</si>
  <si>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</si>
  <si>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</si>
  <si>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</si>
  <si>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</si>
  <si>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</si>
  <si>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</si>
  <si>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</si>
  <si>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</si>
  <si>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</si>
  <si>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</si>
  <si>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</si>
  <si>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</si>
  <si>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</si>
  <si>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</si>
  <si>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</si>
  <si>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</si>
  <si>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</si>
  <si>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</si>
  <si>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</si>
  <si>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</si>
  <si>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</si>
  <si>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</si>
  <si>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</si>
  <si>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</si>
  <si>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</si>
  <si>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</si>
  <si>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</si>
  <si>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</si>
  <si>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</si>
  <si>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</si>
  <si>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</si>
  <si>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</si>
  <si>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</si>
  <si>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</si>
  <si>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</si>
  <si>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</si>
  <si>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</si>
  <si>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</si>
  <si>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</si>
  <si>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</si>
  <si>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</si>
  <si>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</si>
  <si>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</si>
  <si>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</si>
  <si>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</si>
  <si>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</si>
  <si>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</si>
  <si>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</si>
  <si>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</si>
  <si>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</si>
  <si>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</si>
  <si>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</si>
  <si>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</si>
  <si>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</si>
  <si>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</si>
  <si>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</si>
  <si>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</si>
  <si>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</si>
  <si>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</si>
  <si>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</si>
  <si>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</si>
  <si>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</si>
  <si>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</si>
  <si>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</si>
  <si>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</si>
  <si>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</si>
  <si>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</si>
  <si>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</si>
  <si>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</si>
  <si>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</si>
  <si>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</si>
  <si>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</si>
  <si>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</si>
  <si>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</si>
  <si>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</si>
  <si>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</si>
  <si>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</si>
  <si>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</si>
  <si>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</si>
  <si>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</si>
  <si>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</si>
  <si>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</si>
  <si>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</si>
  <si>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</si>
  <si>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</si>
  <si>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</si>
  <si>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</si>
  <si>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</si>
  <si>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</si>
  <si>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</si>
  <si>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</si>
  <si>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</si>
  <si>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</si>
  <si>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</si>
  <si>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</si>
  <si>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</si>
  <si>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</si>
  <si>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</si>
  <si>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</si>
  <si>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</si>
  <si>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</si>
  <si>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</si>
  <si>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</si>
  <si>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</si>
  <si>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</si>
  <si>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</si>
  <si>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</si>
  <si>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</si>
  <si>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</si>
  <si>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</si>
  <si>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</si>
  <si>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</si>
  <si>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</si>
  <si>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</si>
  <si>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</si>
  <si>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</si>
  <si>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</si>
  <si>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</si>
  <si>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</si>
  <si>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</si>
  <si>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</si>
  <si>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</si>
  <si>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</si>
  <si>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</si>
  <si>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</si>
  <si>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</si>
  <si>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</si>
  <si>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</si>
  <si>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</si>
  <si>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</si>
  <si>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</si>
  <si>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</si>
  <si>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</si>
  <si>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</si>
  <si>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</si>
  <si>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</si>
  <si>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</si>
  <si>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</si>
  <si>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</si>
  <si>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</si>
  <si>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</si>
  <si>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</si>
  <si>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</si>
  <si>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</si>
  <si>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</si>
  <si>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</si>
  <si>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</si>
  <si>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</si>
  <si>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</si>
  <si>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</si>
  <si>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</si>
  <si>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</si>
  <si>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</si>
  <si>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</si>
  <si>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</si>
  <si>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</si>
  <si>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</si>
  <si>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</si>
  <si>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</si>
  <si>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</si>
  <si>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</si>
  <si>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</si>
  <si>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</si>
  <si>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</si>
  <si>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</si>
  <si>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</si>
  <si>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</si>
  <si>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</si>
  <si>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</si>
  <si>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</si>
  <si>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</si>
  <si>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</si>
  <si>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</si>
  <si>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</si>
  <si>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</si>
  <si>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</si>
  <si>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</si>
  <si>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</si>
  <si>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</si>
  <si>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</si>
  <si>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</si>
  <si>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</si>
  <si>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</si>
  <si>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</si>
  <si>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</si>
  <si>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</si>
  <si>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</si>
  <si>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</si>
  <si>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</si>
  <si>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</si>
  <si>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</si>
  <si>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</si>
  <si>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</si>
  <si>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</si>
  <si>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</si>
  <si>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</si>
  <si>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</si>
  <si>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</si>
  <si>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</si>
  <si>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</si>
  <si>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</si>
  <si>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</si>
  <si>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</si>
  <si>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</si>
  <si>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</si>
  <si>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</si>
  <si>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</si>
  <si>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</si>
  <si>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</si>
  <si>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</si>
  <si>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</si>
  <si>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</si>
  <si>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</si>
  <si>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</si>
  <si>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</si>
  <si>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</si>
  <si>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</si>
  <si>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</si>
  <si>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</si>
  <si>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</si>
  <si>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</si>
  <si>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</si>
  <si>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</si>
  <si>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</si>
  <si>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</si>
  <si>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</si>
  <si>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</si>
  <si>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</si>
  <si>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</si>
  <si>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</si>
  <si>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</si>
  <si>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</si>
  <si>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</si>
  <si>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</si>
  <si>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</si>
  <si>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</si>
  <si>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</si>
  <si>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</si>
  <si>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</si>
  <si>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</si>
  <si>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</si>
  <si>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</si>
  <si>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</si>
  <si>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</si>
  <si>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</si>
  <si>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</si>
  <si>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</si>
  <si>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</si>
  <si>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</si>
  <si>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</si>
  <si>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</si>
  <si>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</si>
  <si>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</si>
  <si>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</si>
  <si>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</si>
  <si>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</si>
  <si>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</si>
  <si>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</si>
  <si>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</si>
  <si>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</si>
  <si>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</si>
  <si>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</si>
  <si>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</si>
  <si>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</si>
  <si>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</si>
  <si>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</si>
  <si>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</si>
  <si>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</si>
  <si>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</si>
  <si>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</si>
  <si>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</si>
  <si>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</si>
  <si>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</si>
  <si>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</si>
  <si>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</si>
  <si>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</si>
  <si>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</si>
  <si>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</si>
  <si>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</si>
  <si>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</si>
  <si>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</si>
  <si>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</si>
  <si>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</si>
  <si>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</si>
  <si>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</si>
  <si>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</si>
  <si>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</si>
  <si>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</si>
  <si>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</si>
  <si>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</si>
  <si>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</si>
  <si>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</si>
  <si>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</si>
  <si>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</si>
  <si>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</si>
  <si>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</si>
  <si>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</si>
  <si>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</si>
  <si>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</si>
  <si>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</si>
  <si>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</si>
  <si>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</si>
  <si>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</si>
  <si>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</si>
  <si>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</si>
  <si>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</si>
  <si>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</si>
  <si>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</si>
  <si>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</si>
  <si>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</si>
  <si>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</si>
  <si>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</si>
  <si>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</si>
  <si>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</si>
  <si>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</si>
  <si>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</si>
  <si>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</si>
  <si>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</si>
  <si>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</si>
  <si>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</si>
  <si>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</si>
  <si>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</si>
  <si>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</si>
  <si>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</si>
  <si>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</si>
  <si>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</si>
  <si>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</si>
  <si>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</si>
  <si>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</si>
  <si>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</si>
  <si>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</si>
  <si>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</si>
  <si>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</si>
  <si>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</si>
  <si>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</si>
  <si>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</si>
  <si>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</si>
  <si>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</si>
  <si>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</si>
  <si>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</si>
  <si>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</si>
  <si>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</si>
  <si>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</si>
  <si>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</si>
  <si>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</si>
  <si>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</si>
  <si>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</si>
  <si>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</si>
  <si>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</si>
  <si>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</si>
  <si>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</si>
  <si>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</si>
  <si>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</si>
  <si>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</si>
  <si>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</si>
  <si>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</si>
  <si>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</si>
  <si>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</si>
  <si>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</si>
  <si>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</si>
  <si>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</si>
  <si>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</si>
  <si>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</si>
  <si>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</si>
  <si>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</si>
  <si>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</si>
  <si>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</si>
  <si>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</si>
  <si>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</si>
  <si>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</si>
  <si>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</si>
  <si>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</si>
  <si>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</si>
  <si>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</si>
  <si>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</si>
  <si>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</si>
  <si>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</si>
  <si>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</si>
  <si>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</si>
  <si>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</si>
  <si>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</si>
  <si>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</si>
  <si>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</si>
  <si>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</si>
  <si>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</si>
  <si>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</si>
  <si>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</si>
  <si>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</si>
  <si>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</si>
  <si>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</si>
  <si>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</si>
  <si>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</si>
  <si>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</si>
  <si>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</si>
  <si>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</si>
  <si>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</si>
  <si>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</si>
  <si>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</si>
  <si>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</si>
  <si>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</si>
  <si>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</si>
  <si>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</si>
  <si>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</si>
  <si>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</si>
  <si>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</si>
  <si>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</si>
  <si>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</si>
  <si>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</si>
  <si>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</si>
  <si>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</si>
  <si>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</si>
  <si>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</si>
  <si>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</si>
  <si>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</si>
  <si>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</si>
  <si>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</si>
  <si>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</si>
  <si>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</si>
  <si>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</si>
  <si>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</si>
  <si>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</si>
  <si>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</si>
  <si>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</si>
  <si>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</si>
  <si>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</si>
  <si>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</si>
  <si>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</si>
  <si>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</si>
  <si>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</si>
  <si>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</si>
  <si>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</si>
  <si>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</si>
  <si>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</si>
  <si>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</si>
  <si>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</si>
  <si>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</si>
  <si>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</si>
  <si>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</si>
  <si>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</si>
  <si>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</si>
  <si>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</si>
  <si>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</si>
  <si>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</si>
  <si>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</si>
  <si>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</si>
  <si>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</si>
  <si>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</si>
  <si>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</si>
  <si>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</si>
  <si>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</si>
  <si>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</si>
  <si>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</si>
  <si>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</si>
  <si>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</si>
  <si>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</si>
  <si>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</si>
  <si>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</si>
  <si>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</si>
  <si>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</si>
  <si>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</si>
  <si>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</si>
  <si>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</si>
  <si>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</si>
  <si>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</si>
  <si>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</si>
  <si>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</si>
  <si>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</si>
  <si>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</si>
  <si>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</si>
  <si>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</si>
  <si>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</si>
  <si>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</si>
  <si>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</si>
  <si>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</si>
  <si>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</si>
  <si>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</si>
  <si>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</si>
  <si>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</si>
  <si>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</si>
  <si>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</si>
  <si>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</si>
  <si>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</si>
  <si>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</si>
  <si>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</si>
  <si>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</si>
  <si>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</si>
  <si>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</si>
  <si>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</si>
  <si>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</si>
  <si>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</si>
  <si>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</si>
  <si>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</si>
  <si>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</si>
  <si>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</si>
  <si>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</si>
  <si>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</si>
  <si>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</si>
  <si>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</si>
  <si>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</si>
  <si>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</si>
  <si>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</si>
  <si>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</si>
  <si>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</si>
  <si>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</si>
  <si>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</si>
  <si>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</si>
  <si>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</si>
  <si>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</si>
  <si>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</si>
  <si>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</si>
  <si>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</si>
  <si>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</si>
  <si>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</si>
  <si>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</si>
  <si>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</si>
  <si>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</si>
  <si>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</si>
  <si>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</si>
  <si>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</si>
  <si>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</si>
  <si>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</si>
  <si>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</si>
  <si>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</si>
  <si>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</si>
  <si>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</si>
  <si>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</si>
  <si>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</si>
  <si>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</si>
  <si>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</si>
  <si>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</si>
  <si>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</si>
  <si>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</si>
  <si>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</si>
  <si>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</si>
  <si>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</si>
  <si>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</si>
  <si>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</si>
  <si>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</si>
  <si>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</si>
  <si>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</si>
  <si>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</si>
  <si>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</si>
  <si>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</si>
  <si>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</si>
  <si>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</si>
  <si>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</si>
  <si>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</si>
  <si>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</si>
  <si>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</si>
  <si>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</si>
  <si>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</si>
  <si>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</si>
  <si>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</si>
  <si>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</si>
  <si>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</si>
  <si>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</si>
  <si>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</si>
  <si>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</si>
  <si>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</si>
  <si>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</si>
  <si>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</si>
  <si>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</si>
  <si>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</si>
  <si>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</si>
  <si>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</si>
  <si>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</si>
  <si>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</si>
  <si>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</si>
  <si>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</si>
  <si>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</si>
  <si>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</si>
  <si>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</si>
  <si>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</si>
  <si>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</si>
  <si>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</si>
  <si>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</si>
  <si>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</si>
  <si>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</si>
  <si>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</si>
  <si>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</si>
  <si>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</si>
  <si>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</si>
  <si>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</si>
  <si>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</si>
  <si>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</si>
  <si>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</si>
  <si>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</si>
  <si>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</si>
  <si>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</si>
  <si>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</si>
  <si>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</si>
  <si>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</si>
  <si>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</si>
  <si>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</si>
  <si>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</si>
  <si>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</si>
  <si>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</si>
  <si>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</si>
  <si>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</si>
  <si>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</si>
  <si>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</si>
  <si>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</si>
  <si>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</si>
  <si>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</si>
  <si>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</si>
  <si>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</si>
  <si>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</si>
  <si>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</si>
  <si>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</si>
  <si>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</si>
  <si>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</si>
  <si>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</si>
  <si>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</si>
  <si>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</si>
  <si>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</si>
  <si>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</si>
  <si>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</si>
  <si>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</si>
  <si>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</si>
  <si>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</si>
  <si>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</si>
  <si>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</si>
  <si>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</si>
  <si>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</si>
  <si>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</si>
  <si>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</si>
  <si>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</si>
  <si>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</si>
  <si>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</si>
  <si>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</si>
  <si>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</si>
  <si>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</si>
  <si>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</si>
  <si>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</si>
  <si>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</si>
  <si>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</si>
  <si>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</si>
  <si>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</si>
  <si>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</si>
  <si>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</si>
  <si>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</si>
  <si>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</si>
  <si>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</si>
  <si>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</si>
  <si>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</si>
  <si>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</si>
  <si>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</si>
  <si>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</si>
  <si>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</si>
  <si>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</si>
  <si>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</si>
  <si>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</si>
  <si>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</si>
  <si>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</si>
  <si>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</si>
  <si>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</si>
  <si>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</si>
  <si>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</si>
  <si>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</si>
  <si>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</si>
  <si>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</si>
  <si>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</si>
  <si>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</si>
  <si>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</si>
  <si>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</si>
  <si>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</si>
  <si>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</si>
  <si>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</si>
  <si>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</si>
  <si>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</si>
  <si>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</si>
  <si>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</si>
  <si>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</si>
  <si>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</si>
  <si>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</si>
  <si>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</si>
  <si>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</si>
  <si>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</si>
  <si>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</si>
  <si>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</si>
  <si>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</si>
  <si>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</si>
  <si>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</si>
  <si>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</si>
  <si>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</si>
  <si>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</si>
  <si>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</si>
  <si>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</si>
  <si>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</si>
  <si>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</si>
  <si>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</si>
  <si>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</si>
  <si>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</si>
  <si>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</si>
  <si>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</si>
  <si>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</si>
  <si>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</si>
  <si>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</si>
  <si>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</si>
  <si>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</si>
  <si>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</si>
  <si>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</si>
  <si>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</si>
  <si>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</si>
  <si>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</si>
  <si>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</si>
  <si>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</si>
  <si>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</si>
  <si>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</si>
  <si>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</si>
  <si>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</si>
  <si>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</si>
  <si>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</si>
  <si>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</si>
  <si>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</si>
  <si>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</si>
  <si>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</si>
  <si>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</si>
  <si>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</si>
  <si>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</si>
  <si>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</si>
  <si>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</si>
  <si>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</si>
  <si>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</si>
  <si>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</si>
  <si>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</si>
  <si>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</si>
  <si>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</si>
  <si>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</si>
  <si>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</si>
  <si>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</si>
  <si>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</si>
  <si>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</si>
  <si>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</si>
  <si>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</si>
  <si>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</si>
  <si>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</si>
  <si>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</si>
  <si>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</si>
  <si>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</si>
  <si>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</si>
  <si>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</si>
  <si>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</si>
  <si>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</si>
  <si>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</si>
  <si>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</si>
  <si>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</si>
  <si>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</si>
  <si>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</si>
  <si>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</si>
  <si>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</si>
  <si>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</si>
  <si>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</si>
  <si>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</si>
  <si>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</si>
  <si>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</si>
  <si>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</si>
  <si>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</si>
  <si>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</si>
  <si>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</si>
  <si>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</si>
  <si>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</si>
  <si>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</si>
  <si>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</si>
  <si>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</si>
  <si>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</si>
  <si>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</si>
  <si>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</si>
  <si>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</si>
  <si>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</si>
  <si>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</si>
  <si>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</si>
  <si>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</si>
  <si>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</si>
  <si>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</si>
  <si>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</si>
  <si>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</si>
  <si>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</si>
  <si>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</si>
  <si>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</si>
  <si>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</si>
  <si>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</si>
  <si>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</si>
  <si>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</si>
  <si>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</si>
  <si>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</si>
  <si>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</si>
  <si>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</si>
  <si>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</si>
  <si>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</si>
  <si>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</si>
  <si>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</si>
  <si>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</si>
  <si>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</si>
  <si>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</si>
  <si>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</si>
  <si>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</si>
  <si>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</si>
  <si>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</si>
  <si>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</si>
  <si>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</si>
  <si>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</si>
  <si>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</si>
  <si>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</si>
  <si>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</si>
  <si>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</si>
  <si>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</si>
  <si>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</si>
  <si>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</si>
  <si>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</si>
  <si>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</si>
  <si>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</si>
  <si>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</si>
  <si>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</si>
  <si>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</si>
  <si>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</si>
  <si>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</si>
  <si>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</si>
  <si>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</si>
  <si>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</si>
  <si>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</si>
  <si>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</si>
  <si>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</si>
  <si>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</si>
  <si>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</si>
  <si>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</si>
  <si>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</si>
  <si>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</si>
  <si>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</si>
  <si>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</si>
  <si>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</si>
  <si>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</si>
  <si>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</si>
  <si>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</si>
  <si>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</si>
  <si>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</si>
  <si>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</si>
  <si>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</si>
  <si>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</si>
  <si>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</si>
  <si>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</si>
  <si>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</si>
  <si>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</si>
  <si>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</si>
  <si>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</si>
  <si>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</si>
  <si>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</si>
  <si>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</si>
  <si>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</si>
  <si>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</si>
  <si>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</si>
  <si>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</si>
  <si>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</si>
  <si>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</si>
  <si>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</si>
  <si>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</si>
  <si>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</si>
  <si>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</si>
  <si>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</si>
  <si>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</si>
  <si>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</si>
  <si>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</si>
  <si>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</si>
  <si>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</si>
  <si>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</si>
  <si>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</si>
  <si>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</si>
  <si>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</si>
  <si>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</si>
  <si>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</si>
  <si>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</si>
  <si>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</si>
  <si>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</si>
  <si>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</si>
  <si>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</si>
  <si>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</si>
  <si>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</si>
  <si>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</si>
  <si>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</si>
  <si>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</si>
  <si>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</si>
  <si>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</si>
  <si>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</si>
  <si>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</si>
  <si>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</si>
  <si>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</si>
  <si>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</si>
  <si>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</si>
  <si>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</si>
  <si>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</si>
  <si>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</si>
  <si>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</si>
  <si>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</si>
  <si>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</si>
  <si>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</si>
  <si>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</si>
  <si>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</si>
  <si>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</si>
  <si>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</si>
  <si>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</si>
  <si>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</si>
  <si>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</si>
  <si>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</si>
  <si>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</si>
  <si>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</si>
  <si>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</si>
  <si>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</si>
  <si>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</si>
  <si>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</si>
  <si>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</si>
  <si>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</si>
  <si>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</si>
  <si>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</si>
  <si>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</si>
  <si>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</si>
  <si>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</si>
  <si>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</si>
  <si>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</si>
  <si>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</si>
  <si>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</si>
  <si>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</si>
  <si>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</si>
  <si>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</si>
  <si>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</si>
  <si>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</si>
  <si>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</si>
  <si>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</si>
  <si>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</si>
  <si>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</si>
  <si>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</si>
  <si>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</si>
  <si>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</si>
  <si>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</si>
  <si>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</si>
  <si>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</si>
  <si>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</si>
  <si>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</si>
  <si>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</si>
  <si>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</si>
  <si>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</si>
  <si>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</si>
  <si>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</si>
  <si>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</si>
  <si>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</si>
  <si>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</si>
  <si>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</si>
  <si>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</si>
  <si>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</si>
  <si>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</si>
  <si>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</si>
  <si>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</si>
  <si>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</si>
  <si>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</si>
  <si>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</si>
  <si>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</si>
  <si>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</si>
  <si>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</si>
  <si>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</si>
  <si>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</si>
  <si>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</si>
  <si>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</si>
  <si>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</si>
  <si>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</si>
  <si>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</si>
  <si>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</si>
  <si>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</si>
  <si>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</si>
  <si>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</si>
  <si>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</si>
  <si>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</si>
  <si>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</si>
  <si>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</si>
  <si>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</si>
  <si>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</si>
  <si>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</si>
  <si>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</si>
  <si>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</si>
  <si>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</si>
  <si>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</si>
  <si>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</si>
  <si>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</si>
  <si>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</si>
  <si>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</si>
  <si>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</si>
  <si>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</si>
  <si>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</si>
  <si>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</si>
  <si>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</si>
  <si>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</si>
  <si>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</si>
  <si>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</si>
  <si>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</si>
  <si>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</si>
  <si>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</si>
  <si>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</si>
  <si>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</si>
  <si>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</si>
  <si>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</si>
  <si>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</si>
  <si>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</si>
  <si>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</si>
  <si>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</si>
  <si>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</si>
  <si>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</si>
  <si>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</si>
  <si>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</si>
  <si>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</si>
  <si>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</si>
  <si>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</si>
  <si>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</si>
  <si>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</si>
  <si>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</si>
  <si>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</si>
  <si>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</si>
  <si>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</si>
  <si>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</si>
  <si>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</si>
  <si>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</si>
  <si>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</si>
  <si>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</si>
  <si>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</si>
  <si>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</si>
  <si>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</si>
  <si>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</si>
  <si>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</si>
  <si>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</si>
  <si>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</si>
  <si>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</si>
  <si>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</si>
  <si>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</si>
  <si>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</si>
  <si>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</si>
  <si>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</si>
  <si>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</si>
  <si>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</si>
  <si>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</si>
  <si>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</si>
  <si>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</si>
  <si>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</si>
  <si>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</si>
  <si>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</si>
  <si>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</si>
  <si>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</si>
  <si>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</si>
  <si>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</si>
  <si>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</si>
  <si>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</si>
  <si>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</si>
  <si>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</si>
  <si>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</si>
  <si>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</si>
  <si>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</si>
  <si>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</si>
  <si>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</si>
  <si>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</si>
  <si>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</si>
  <si>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</si>
  <si>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</si>
  <si>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</si>
  <si>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</si>
  <si>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</si>
  <si>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</si>
  <si>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</si>
  <si>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</si>
  <si>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</si>
  <si>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</si>
  <si>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</si>
  <si>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</si>
  <si>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</si>
  <si>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</si>
  <si>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</si>
  <si>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</si>
  <si>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</si>
  <si>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</si>
  <si>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</si>
  <si>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</si>
  <si>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</si>
  <si>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</si>
  <si>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</si>
  <si>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</si>
  <si>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</si>
  <si>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</si>
  <si>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</si>
  <si>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</si>
  <si>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</si>
  <si>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</si>
  <si>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</si>
  <si>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</si>
  <si>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</si>
  <si>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</si>
  <si>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</si>
  <si>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</si>
  <si>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</si>
  <si>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</si>
  <si>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</si>
  <si>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</si>
  <si>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</si>
  <si>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</si>
  <si>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</si>
  <si>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</si>
  <si>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</si>
  <si>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</si>
  <si>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</si>
  <si>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</si>
  <si>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</si>
  <si>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</si>
  <si>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</si>
  <si>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</si>
  <si>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</si>
  <si>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</si>
  <si>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</si>
  <si>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</si>
  <si>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</si>
  <si>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</si>
  <si>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</si>
  <si>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</si>
  <si>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</si>
  <si>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</si>
  <si>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</si>
  <si>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</si>
  <si>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</si>
  <si>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</si>
  <si>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</si>
  <si>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</si>
  <si>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</si>
  <si>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</si>
  <si>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</si>
  <si>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</si>
  <si>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</si>
  <si>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</si>
  <si>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</si>
  <si>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</si>
  <si>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</si>
  <si>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</si>
  <si>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</si>
  <si>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</si>
  <si>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</si>
  <si>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</si>
  <si>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</si>
  <si>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</si>
  <si>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</si>
  <si>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</si>
  <si>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</si>
  <si>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</si>
  <si>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</si>
  <si>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</si>
  <si>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</si>
  <si>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</si>
  <si>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</si>
  <si>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</si>
  <si>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</si>
  <si>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</si>
  <si>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</si>
  <si>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</si>
  <si>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</si>
  <si>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</si>
  <si>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</si>
  <si>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</si>
  <si>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</si>
  <si>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</si>
  <si>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</si>
  <si>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</si>
  <si>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</si>
  <si>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</si>
  <si>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</si>
  <si>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</si>
  <si>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</si>
  <si>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</si>
  <si>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</si>
  <si>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</si>
  <si>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</si>
  <si>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</si>
  <si>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</si>
  <si>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</si>
  <si>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</si>
  <si>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</si>
  <si>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</si>
  <si>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</si>
  <si>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</si>
  <si>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</si>
  <si>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</si>
  <si>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</si>
  <si>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</si>
  <si>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</si>
  <si>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</si>
  <si>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</si>
  <si>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</si>
  <si>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</si>
  <si>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</si>
  <si>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</si>
  <si>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</si>
  <si>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</si>
  <si>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</si>
  <si>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</si>
  <si>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</si>
  <si>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</si>
  <si>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</si>
  <si>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</si>
  <si>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</si>
  <si>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</si>
  <si>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</si>
  <si>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</si>
  <si>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</si>
  <si>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</si>
  <si>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</si>
  <si>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</si>
  <si>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</si>
  <si>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</si>
  <si>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</si>
  <si>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</si>
  <si>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</si>
  <si>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</si>
  <si>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</si>
  <si>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</si>
  <si>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</si>
  <si>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</si>
  <si>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</si>
  <si>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</si>
  <si>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</si>
  <si>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</si>
  <si>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</si>
  <si>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</si>
  <si>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</si>
  <si>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</si>
  <si>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</si>
  <si>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</si>
  <si>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</si>
  <si>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</si>
  <si>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</si>
  <si>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</si>
  <si>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</si>
  <si>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</si>
  <si>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</si>
  <si>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</si>
  <si>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</si>
  <si>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</si>
  <si>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</si>
  <si>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</si>
  <si>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</si>
  <si>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</si>
  <si>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</si>
  <si>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</si>
  <si>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</si>
  <si>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</si>
  <si>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</si>
  <si>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</si>
  <si>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</si>
  <si>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</si>
  <si>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</si>
  <si>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</si>
  <si>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</si>
  <si>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</si>
  <si>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</si>
  <si>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</si>
  <si>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</si>
  <si>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</si>
  <si>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</si>
  <si>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</si>
  <si>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</si>
  <si>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</si>
  <si>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</si>
  <si>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</si>
  <si>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</si>
  <si>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</si>
  <si>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</si>
  <si>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</si>
  <si>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</si>
  <si>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</si>
  <si>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</si>
  <si>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</si>
  <si>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</si>
  <si>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</si>
  <si>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</si>
  <si>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</si>
  <si>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</si>
  <si>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</si>
  <si>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</si>
  <si>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</si>
  <si>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</si>
  <si>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</si>
  <si>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</si>
  <si>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</si>
  <si>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</si>
  <si>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</si>
  <si>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</si>
  <si>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</si>
  <si>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</si>
  <si>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</si>
  <si>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</si>
  <si>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</si>
  <si>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</si>
  <si>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</si>
  <si>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</si>
  <si>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</si>
  <si>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</si>
  <si>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</si>
  <si>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</si>
  <si>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</si>
  <si>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</si>
  <si>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</si>
  <si>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</si>
  <si>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</si>
  <si>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</si>
  <si>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</si>
  <si>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</si>
  <si>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</si>
  <si>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</si>
  <si>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</si>
  <si>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</si>
  <si>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</si>
  <si>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</si>
  <si>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</si>
  <si>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</si>
  <si>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</si>
  <si>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</si>
  <si>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</si>
  <si>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</si>
  <si>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</si>
  <si>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</si>
  <si>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</si>
  <si>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</si>
  <si>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</si>
  <si>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</si>
  <si>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</si>
  <si>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</si>
  <si>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</si>
  <si>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</si>
  <si>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</si>
  <si>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</si>
  <si>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</si>
  <si>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</si>
  <si>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</si>
  <si>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</si>
  <si>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</si>
  <si>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</si>
  <si>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</si>
  <si>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</si>
  <si>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</si>
  <si>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</si>
  <si>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</si>
  <si>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</si>
  <si>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</si>
  <si>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</si>
  <si>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</si>
  <si>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</si>
  <si>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</si>
  <si>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</si>
  <si>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</si>
  <si>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</si>
  <si>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</si>
  <si>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</si>
  <si>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</si>
  <si>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</si>
  <si>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</si>
  <si>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</si>
  <si>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</si>
  <si>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</si>
  <si>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</si>
  <si>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</si>
  <si>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</si>
  <si>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</si>
  <si>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</si>
  <si>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</si>
  <si>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</si>
  <si>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</si>
  <si>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</si>
  <si>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</si>
  <si>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</si>
  <si>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</si>
  <si>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</si>
  <si>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</si>
  <si>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</si>
  <si>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</si>
  <si>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</si>
  <si>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</si>
  <si>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</si>
  <si>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</si>
  <si>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</si>
  <si>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</si>
  <si>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</si>
  <si>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</si>
  <si>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</si>
  <si>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</si>
  <si>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</si>
  <si>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</si>
  <si>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</si>
  <si>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</si>
  <si>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</si>
  <si>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</si>
  <si>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</si>
  <si>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</si>
  <si>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</si>
  <si>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</si>
  <si>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</si>
  <si>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</si>
  <si>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</si>
  <si>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</si>
  <si>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</si>
  <si>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</si>
  <si>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</si>
  <si>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</si>
  <si>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</si>
  <si>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</si>
  <si>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</si>
  <si>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</si>
  <si>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</si>
  <si>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</si>
  <si>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</si>
  <si>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</si>
  <si>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</si>
  <si>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</si>
  <si>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</si>
  <si>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</si>
  <si>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</si>
  <si>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</si>
  <si>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</si>
  <si>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</si>
  <si>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</si>
  <si>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</si>
  <si>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</si>
  <si>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</si>
  <si>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</si>
  <si>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</si>
  <si>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</si>
  <si>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</si>
  <si>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</si>
  <si>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</si>
  <si>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</si>
  <si>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</si>
  <si>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</si>
  <si>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</si>
  <si>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</si>
  <si>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</si>
  <si>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</si>
  <si>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</si>
  <si>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</si>
  <si>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</si>
  <si>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</si>
  <si>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</si>
  <si>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</si>
  <si>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</si>
  <si>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</si>
  <si>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</si>
  <si>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</si>
  <si>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</si>
  <si>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</si>
  <si>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</si>
  <si>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</si>
  <si>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</si>
  <si>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</si>
  <si>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</si>
  <si>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</si>
  <si>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</si>
  <si>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</si>
  <si>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</si>
  <si>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</si>
  <si>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</si>
  <si>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</si>
  <si>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</si>
  <si>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</si>
  <si>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</si>
  <si>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</si>
  <si>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</si>
  <si>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</si>
  <si>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</si>
  <si>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</si>
  <si>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</si>
  <si>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</si>
  <si>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</si>
  <si>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</si>
  <si>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</si>
  <si>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</si>
  <si>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</si>
  <si>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</si>
  <si>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</si>
  <si>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</si>
  <si>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</si>
  <si>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</si>
  <si>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</si>
  <si>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</si>
  <si>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</si>
  <si>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</si>
  <si>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</si>
  <si>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</si>
  <si>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</si>
  <si>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</si>
  <si>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</si>
  <si>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</si>
  <si>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</si>
  <si>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</si>
  <si>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</si>
  <si>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</si>
  <si>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</si>
  <si>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</si>
  <si>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</si>
  <si>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</si>
  <si>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</si>
  <si>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</si>
  <si>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</si>
  <si>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</si>
  <si>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</si>
  <si>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</si>
  <si>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</si>
  <si>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</si>
  <si>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</si>
  <si>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</si>
  <si>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</si>
  <si>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</si>
  <si>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</si>
  <si>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</si>
  <si>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</si>
  <si>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</si>
  <si>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</si>
  <si>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</si>
  <si>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</si>
  <si>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</si>
  <si>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</si>
  <si>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</si>
  <si>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</si>
  <si>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</si>
  <si>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</si>
  <si>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</si>
  <si>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</si>
  <si>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</si>
  <si>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</si>
  <si>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</si>
  <si>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</si>
  <si>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</si>
  <si>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</si>
  <si>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</si>
  <si>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</si>
  <si>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</si>
  <si>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</si>
  <si>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</si>
  <si>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</si>
  <si>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</si>
  <si>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</si>
  <si>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</si>
  <si>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</si>
  <si>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</si>
  <si>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</si>
  <si>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</si>
  <si>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</si>
  <si>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</si>
  <si>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</si>
  <si>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</si>
  <si>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</si>
  <si>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</si>
  <si>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</si>
  <si>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</si>
  <si>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</si>
  <si>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</si>
  <si>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</si>
  <si>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</si>
  <si>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</si>
  <si>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</si>
  <si>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</si>
  <si>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</si>
  <si>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</si>
  <si>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</si>
  <si>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</si>
  <si>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</si>
  <si>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</si>
  <si>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</si>
  <si>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</si>
  <si>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</si>
  <si>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</si>
  <si>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</si>
  <si>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</si>
  <si>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</si>
  <si>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</si>
  <si>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</si>
  <si>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</si>
  <si>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</si>
  <si>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</si>
  <si>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</si>
  <si>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</si>
  <si>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</si>
  <si>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</si>
  <si>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</si>
  <si>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</si>
  <si>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</si>
  <si>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</si>
  <si>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</si>
  <si>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</si>
  <si>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</si>
  <si>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</si>
  <si>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</si>
  <si>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</si>
  <si>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</si>
  <si>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</si>
  <si>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</si>
  <si>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</si>
  <si>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</si>
  <si>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</si>
  <si>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</si>
  <si>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</si>
  <si>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</si>
  <si>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</si>
  <si>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</si>
  <si>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</si>
  <si>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</si>
  <si>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</si>
  <si>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</si>
  <si>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</si>
  <si>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</si>
  <si>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</si>
  <si>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</si>
  <si>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</si>
  <si>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</si>
  <si>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</si>
  <si>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</si>
  <si>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</si>
  <si>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</si>
  <si>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</si>
  <si>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</si>
  <si>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</si>
  <si>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</si>
  <si>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</si>
  <si>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</si>
  <si>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</si>
  <si>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</si>
  <si>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</si>
  <si>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</si>
  <si>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</si>
  <si>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</si>
  <si>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</si>
  <si>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</si>
  <si>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</si>
  <si>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</si>
  <si>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</si>
  <si>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</si>
  <si>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</si>
  <si>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</si>
  <si>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</si>
  <si>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</si>
  <si>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</si>
  <si>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</si>
  <si>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</si>
  <si>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</si>
  <si>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</si>
  <si>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</si>
  <si>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</si>
  <si>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</si>
  <si>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</si>
  <si>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</si>
  <si>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</si>
  <si>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</si>
  <si>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</si>
  <si>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</si>
  <si>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</si>
  <si>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</si>
  <si>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</si>
  <si>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</si>
  <si>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</si>
  <si>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</si>
  <si>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</si>
  <si>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</si>
  <si>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</si>
  <si>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</si>
  <si>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</si>
  <si>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</si>
  <si>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</si>
  <si>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</si>
  <si>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</si>
  <si>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</si>
  <si>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</si>
  <si>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</si>
  <si>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</si>
  <si>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</si>
  <si>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</si>
  <si>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</si>
  <si>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</si>
  <si>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</si>
  <si>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</si>
  <si>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</si>
  <si>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</si>
  <si>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</si>
  <si>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</si>
  <si>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</si>
  <si>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</si>
  <si>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</si>
  <si>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</si>
  <si>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</si>
  <si>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</si>
  <si>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</si>
  <si>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</si>
  <si>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</si>
  <si>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</si>
  <si>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</si>
  <si>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</si>
  <si>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</si>
  <si>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</si>
  <si>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</si>
  <si>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</si>
  <si>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</si>
  <si>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</si>
  <si>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</si>
  <si>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</si>
  <si>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</si>
  <si>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</si>
  <si>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</si>
  <si>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</si>
  <si>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</si>
  <si>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</si>
  <si>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</si>
  <si>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</si>
  <si>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</si>
  <si>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</si>
  <si>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</si>
  <si>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</si>
  <si>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</si>
  <si>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</si>
  <si>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</si>
  <si>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</si>
  <si>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</si>
  <si>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</si>
  <si>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</si>
  <si>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</si>
  <si>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</si>
  <si>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</si>
  <si>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</si>
  <si>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</si>
  <si>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</si>
  <si>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</si>
  <si>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</si>
  <si>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</si>
  <si>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</si>
  <si>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</si>
  <si>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</si>
  <si>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</si>
  <si>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</si>
  <si>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</si>
  <si>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</si>
  <si>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</si>
  <si>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</si>
  <si>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</si>
  <si>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</si>
  <si>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</si>
  <si>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</si>
  <si>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</si>
  <si>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</si>
  <si>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</si>
  <si>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</si>
  <si>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</si>
  <si>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</si>
  <si>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</si>
  <si>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</si>
  <si>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</si>
  <si>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</si>
  <si>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</si>
  <si>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</si>
  <si>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</si>
  <si>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</si>
  <si>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</si>
  <si>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</si>
  <si>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</si>
  <si>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</si>
  <si>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</si>
  <si>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</si>
  <si>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</si>
  <si>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</si>
  <si>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</si>
  <si>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</si>
  <si>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</si>
  <si>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</si>
  <si>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</si>
  <si>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</si>
  <si>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</si>
  <si>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</si>
  <si>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</si>
  <si>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</si>
  <si>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</si>
  <si>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</si>
  <si>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</si>
  <si>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</si>
  <si>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</si>
  <si>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</si>
  <si>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</si>
  <si>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</si>
  <si>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</si>
  <si>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</si>
  <si>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</si>
  <si>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</si>
  <si>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</si>
  <si>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</si>
  <si>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</si>
  <si>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</si>
  <si>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</si>
  <si>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</si>
  <si>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</si>
  <si>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</si>
  <si>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</si>
  <si>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</si>
  <si>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</si>
  <si>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</si>
  <si>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</si>
  <si>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</si>
  <si>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</si>
  <si>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</si>
  <si>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</si>
  <si>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</si>
  <si>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</si>
  <si>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</si>
  <si>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</si>
  <si>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</si>
  <si>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</si>
  <si>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</si>
  <si>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</si>
  <si>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</si>
  <si>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</si>
  <si>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</si>
  <si>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</si>
  <si>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</si>
  <si>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</si>
  <si>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</si>
  <si>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</si>
  <si>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</si>
  <si>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</si>
  <si>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</si>
  <si>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</si>
  <si>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</si>
  <si>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</si>
  <si>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</si>
  <si>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</si>
  <si>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</si>
  <si>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</si>
  <si>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</si>
  <si>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</si>
  <si>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</si>
  <si>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</si>
  <si>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</si>
  <si>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</si>
  <si>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</si>
  <si>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</si>
  <si>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</si>
  <si>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</si>
  <si>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</si>
  <si>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</si>
  <si>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</si>
  <si>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</si>
  <si>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</si>
  <si>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</si>
  <si>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</si>
  <si>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</si>
  <si>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</si>
  <si>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</si>
  <si>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</si>
  <si>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</si>
  <si>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</si>
  <si>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</si>
  <si>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</si>
  <si>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</si>
  <si>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</si>
  <si>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</si>
  <si>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</si>
  <si>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</si>
  <si>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</si>
  <si>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</si>
  <si>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</si>
  <si>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</si>
  <si>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</si>
  <si>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</si>
  <si>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</si>
  <si>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</si>
  <si>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</si>
  <si>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</si>
  <si>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</si>
  <si>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</si>
  <si>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</si>
  <si>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</si>
  <si>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</si>
  <si>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</si>
  <si>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</si>
  <si>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</si>
  <si>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</si>
  <si>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</si>
  <si>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</si>
  <si>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</si>
  <si>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</si>
  <si>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</si>
  <si>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</si>
  <si>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</si>
  <si>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</si>
  <si>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</si>
  <si>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</si>
  <si>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</si>
  <si>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</si>
  <si>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</si>
  <si>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</si>
  <si>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</si>
  <si>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</si>
  <si>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</si>
  <si>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</si>
  <si>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</si>
  <si>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</si>
  <si>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</si>
  <si>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</si>
  <si>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</si>
  <si>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</si>
  <si>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</si>
  <si>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</si>
  <si>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</si>
  <si>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</si>
  <si>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</si>
  <si>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</si>
  <si>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</si>
  <si>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</si>
  <si>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</si>
  <si>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</si>
  <si>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</si>
  <si>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</si>
  <si>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</si>
  <si>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</si>
  <si>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</si>
  <si>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</si>
  <si>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</si>
  <si>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</si>
  <si>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</si>
  <si>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</si>
  <si>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</si>
  <si>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</si>
  <si>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</si>
  <si>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</si>
  <si>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</si>
  <si>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</si>
  <si>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</si>
  <si>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</si>
  <si>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</si>
  <si>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</si>
  <si>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</si>
  <si>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</si>
  <si>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</si>
  <si>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</si>
  <si>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</si>
  <si>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</si>
  <si>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</si>
  <si>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</si>
  <si>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</si>
  <si>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</si>
  <si>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</si>
  <si>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</si>
  <si>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</si>
  <si>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</si>
  <si>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</si>
  <si>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</si>
  <si>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</si>
  <si>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</si>
  <si>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</si>
  <si>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</si>
  <si>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</si>
  <si>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</si>
  <si>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</si>
  <si>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</si>
  <si>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</si>
  <si>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</si>
  <si>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</si>
  <si>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</si>
  <si>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</si>
  <si>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</si>
  <si>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</si>
  <si>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</si>
  <si>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</si>
  <si>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</si>
  <si>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</si>
  <si>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</si>
  <si>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</si>
  <si>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</si>
  <si>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</si>
  <si>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</si>
  <si>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</si>
  <si>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</si>
  <si>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</si>
  <si>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</si>
  <si>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</si>
  <si>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</si>
  <si>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</si>
  <si>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</si>
  <si>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</si>
  <si>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</si>
  <si>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</si>
  <si>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</si>
  <si>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</si>
  <si>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</si>
  <si>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</si>
  <si>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</si>
  <si>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</si>
  <si>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</si>
  <si>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</si>
  <si>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</si>
  <si>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</si>
  <si>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</si>
  <si>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</si>
  <si>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</si>
  <si>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</si>
  <si>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</si>
  <si>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</si>
  <si>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</si>
  <si>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</si>
  <si>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</si>
  <si>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</si>
  <si>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</si>
  <si>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</si>
  <si>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</si>
  <si>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</si>
  <si>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</si>
  <si>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</si>
  <si>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</si>
  <si>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</si>
  <si>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</si>
  <si>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</si>
  <si>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</si>
  <si>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</si>
  <si>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</si>
  <si>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</si>
  <si>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</si>
  <si>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</si>
  <si>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</si>
  <si>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</si>
  <si>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</si>
  <si>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</si>
  <si>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</si>
  <si>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</si>
  <si>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</si>
  <si>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</si>
  <si>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</si>
  <si>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</si>
  <si>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</si>
  <si>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</si>
  <si>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</si>
  <si>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</si>
  <si>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</si>
  <si>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</si>
  <si>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</si>
  <si>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</si>
  <si>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</si>
  <si>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</si>
  <si>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</si>
  <si>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</si>
  <si>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</si>
  <si>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</si>
  <si>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</si>
  <si>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</si>
  <si>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</si>
  <si>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</si>
  <si>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</si>
  <si>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</si>
  <si>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</si>
  <si>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</si>
  <si>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</si>
  <si>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</si>
  <si>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</si>
  <si>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</si>
  <si>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</si>
  <si>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</si>
  <si>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</si>
  <si>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</si>
  <si>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</si>
  <si>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</si>
  <si>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</si>
  <si>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</si>
  <si>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</si>
  <si>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</si>
  <si>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</si>
  <si>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</si>
  <si>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</si>
  <si>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</si>
  <si>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</si>
  <si>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</si>
  <si>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</si>
  <si>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</si>
  <si>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</si>
  <si>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</si>
  <si>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</si>
  <si>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</si>
  <si>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</si>
  <si>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</si>
  <si>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</si>
  <si>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</si>
  <si>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</si>
  <si>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</si>
  <si>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</si>
  <si>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</si>
  <si>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</si>
  <si>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</si>
  <si>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</si>
  <si>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</si>
  <si>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</si>
  <si>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</si>
  <si>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</si>
  <si>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</si>
  <si>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</si>
  <si>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</si>
  <si>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</si>
  <si>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</si>
  <si>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</si>
  <si>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</si>
  <si>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</si>
  <si>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</si>
  <si>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</si>
  <si>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</si>
  <si>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</si>
  <si>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</si>
  <si>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</si>
  <si>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</si>
  <si>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</si>
  <si>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</si>
  <si>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</si>
  <si>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</si>
  <si>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</si>
  <si>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</si>
  <si>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</si>
  <si>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</si>
  <si>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</si>
  <si>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</si>
  <si>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</si>
  <si>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</si>
  <si>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</si>
  <si>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</si>
  <si>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</si>
  <si>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</si>
  <si>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</si>
  <si>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</si>
  <si>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</si>
  <si>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</si>
  <si>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</si>
  <si>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</si>
  <si>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</si>
  <si>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</si>
  <si>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</si>
  <si>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</si>
  <si>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</si>
  <si>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</si>
  <si>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</si>
  <si>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</si>
  <si>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</si>
  <si>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</si>
  <si>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</si>
  <si>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</si>
  <si>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</si>
  <si>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</si>
  <si>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</si>
  <si>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</si>
  <si>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</si>
  <si>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</si>
  <si>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</si>
  <si>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</si>
  <si>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</si>
  <si>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</si>
  <si>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</si>
  <si>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</si>
  <si>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</si>
  <si>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</si>
  <si>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</si>
  <si>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</si>
  <si>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</si>
  <si>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</si>
  <si>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</si>
  <si>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</si>
  <si>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</si>
  <si>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</si>
  <si>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</si>
  <si>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</si>
  <si>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</si>
  <si>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</si>
  <si>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</si>
  <si>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</si>
  <si>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</si>
  <si>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</si>
  <si>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</si>
  <si>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</si>
  <si>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</si>
  <si>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</si>
  <si>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</si>
  <si>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</si>
  <si>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</si>
  <si>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</si>
  <si>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</si>
  <si>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</si>
  <si>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</si>
  <si>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</si>
  <si>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</si>
  <si>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</si>
  <si>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</si>
  <si>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</si>
  <si>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</si>
  <si>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</si>
  <si>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</si>
  <si>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</si>
  <si>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</si>
  <si>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</si>
  <si>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</si>
  <si>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</si>
  <si>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</si>
  <si>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</si>
  <si>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</si>
  <si>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</si>
  <si>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</si>
  <si>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</si>
  <si>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</si>
  <si>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</si>
  <si>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</si>
  <si>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</si>
  <si>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</si>
  <si>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</si>
  <si>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</si>
  <si>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</si>
  <si>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</si>
  <si>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</si>
  <si>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</si>
  <si>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</si>
  <si>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</si>
  <si>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</si>
  <si>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</si>
  <si>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</si>
  <si>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</si>
  <si>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</si>
  <si>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</si>
  <si>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</si>
  <si>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</si>
  <si>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</si>
  <si>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</si>
  <si>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</si>
  <si>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</si>
  <si>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</si>
  <si>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</si>
  <si>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</si>
  <si>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</si>
  <si>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</si>
  <si>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</si>
  <si>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</si>
  <si>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</si>
  <si>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</si>
  <si>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</si>
  <si>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</si>
  <si>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</si>
  <si>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</si>
  <si>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Contents</t>
  </si>
  <si>
    <t>Verandah</t>
  </si>
  <si>
    <t>Reception</t>
  </si>
  <si>
    <t>White washing two coat for old wall</t>
  </si>
  <si>
    <t>Plastic emulsion paint two coat old wall</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</si>
  <si>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</si>
  <si>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</si>
  <si>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</si>
  <si>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</si>
  <si>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</si>
  <si>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</si>
  <si>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</si>
  <si>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</si>
  <si>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</si>
  <si>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</si>
  <si>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</si>
  <si>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</si>
  <si>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</si>
  <si>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</si>
  <si>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</si>
  <si>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</si>
  <si>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</si>
  <si>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</si>
  <si>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</si>
  <si>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</si>
  <si>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</si>
  <si>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</si>
  <si>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</si>
  <si>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</si>
  <si>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</si>
  <si>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</si>
  <si>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</si>
  <si>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</si>
  <si>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</si>
  <si>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</si>
  <si>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</si>
  <si>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</si>
  <si>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</si>
  <si>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</si>
  <si>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</si>
  <si>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</si>
  <si>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</si>
  <si>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</si>
  <si>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</si>
  <si>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</si>
  <si>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</si>
  <si>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</si>
  <si>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</si>
  <si>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</si>
  <si>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Toilet</t>
  </si>
  <si>
    <t>Lockup Men</t>
  </si>
  <si>
    <t>ARUMANAI</t>
  </si>
  <si>
    <t>WC</t>
  </si>
  <si>
    <t xml:space="preserve">4mm glass frosted </t>
  </si>
  <si>
    <t>2.Certified that presently Msand from the approved source of Kattachal which is nearest and 5Km from the site.</t>
  </si>
  <si>
    <t>TAMIL NADU POLICE HOUSING CORPORATION LTD</t>
  </si>
  <si>
    <t>SALEM DIVISION</t>
  </si>
  <si>
    <t>NAME OF WORK:</t>
  </si>
  <si>
    <t>Special Repair works to Existing Police Station at Melchengam  in Thiruvannamalai district</t>
  </si>
  <si>
    <t>Sl. No</t>
  </si>
  <si>
    <t>Finishing top of roof with one course of Hydraulic Pressed Tiles of approved superior quality of size 23cmx 23cmx20mm thick laid over weathering course in cm 1:3 (One of cement and three of sand) 12mm thick mixed with Water proofing compound at 2% by weight of cement used and pointed neatly with the same cement mortar mixed with water proofing compound including curing etc., as per standard specifications. (The quality of tiles shall be got approved from the EE before use)</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</si>
  <si>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leveling the site with an initial lead of 10 metres and lift as specified here under etc. complete in all respects complying with relevant standard specifications. (Including Refilling)</t>
  </si>
  <si>
    <t xml:space="preserve">Cum </t>
  </si>
  <si>
    <t>Supplying and filling in foundation and basement with filling sand in layers of 150mm thickness well watered, rammed and consolidated complying with relevant standard specification including cost of supplying filling sand.</t>
  </si>
  <si>
    <t>Plain cement concrete 1:5:10 (One of cement, five of sand and ten of hard broken stone Jelly) for foundation using 40 mm gauge broken stone jelly inclusive of shoring, strutting and bailing out water wherever necessary ramming, curing etc., complete in all respects complying with relevant standard specifications and as directed by the departmental officers.</t>
  </si>
  <si>
    <t>Brick work in cm 1:5 (One of cement and five of sand) using Kiln burnt country bricks of size8¾”x4¼”x2¾” (22x11x7cm) in foundation and basement including dewatering wherever necessary proper setting, curing etc., complete with relevant standard specifications.</t>
  </si>
  <si>
    <t>Brick work in cm 1:6 (One of cement and five of sand) using Kiln burnt country bricks of size8¾”x4¼”x2¾” (22x11x7cm) in foundation and basement including dewatering wherever necessary proper setting, curing etc., complete with relevant standard specifications.</t>
  </si>
  <si>
    <t>Brick work in cm 1:4 (One of cement and five of sand) 110mm thick, using Kiln burnt country bricks of size8¾”x4¼”x2¾” (22x11x7cm) in foundation and basement including dewatering wherever necessary proper setting, curing etc., complete with relevant standard specifications.</t>
  </si>
  <si>
    <t>Plastering with C.M 1:5 (One of cement and five of sand) 12mm thick finished with neat cement including providing band cornice, ceiling cornice, curing, scaffolding, etc., complete in all respects and complying with relevant standard specifications.</t>
  </si>
  <si>
    <t>Providing Precast slab 50mm thick in CC1:3:6 with fibre</t>
  </si>
  <si>
    <t>Supplying and fixing of 110mm dia PVC (SWR)  pipe with ISI mark type A for Rain water down fall pipe.</t>
  </si>
  <si>
    <t>Supplying and fixing the following dia PVC (SWR) pipe with ISI mark confirming to IS 13952:1992- type 'B' for soil line with 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t>
  </si>
  <si>
    <t>Supplying and fixing EWC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</si>
  <si>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</si>
  <si>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r>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r>
    <r>
      <rPr>
        <b/>
        <sz val="10"/>
        <rFont val="Times New Roman"/>
        <family val="1"/>
      </rPr>
      <t xml:space="preserve"> Fan Point</t>
    </r>
  </si>
  <si>
    <t>Supply and fixing of LED road way light luminaries suitable for fixing 30 watts LED lamp with heavy gauge aluminum sheet fabricated canopy treated primered and painted with stove enameled CRCA sheet steel cantact gear cum reflected with clear ribbed scrylic bowl fixed to aluminum frame with gasket lining secured to canopy by means of hings for one side and forggle - catches in the other side for minim projection against  dust and water entry all prewired upto terminal block complete with all accessories such as copper wire, CFL bulb etc., complete using 25mm dia GI 'B' class pipe for 1.50m length, confirming to ISI specifications and including labour charges for fixing street light fittings in EB pole / wall etc., complete as directed by the departmental officers. ( The quality and brand of entire fitting should be got approved from Executive Engineer, before use).</t>
  </si>
  <si>
    <t>Supplying and fixing of water tight Bulk head fitting suitable for 9 watts LED with guard, including necessary connections, cost of materials etc., all complete.</t>
  </si>
  <si>
    <t xml:space="preserve">Supplying and fixing of LED Bulb for suitable for fixing it to pendent / bakelite battern holder of best approved variety and as directed by the departmental officers. (The materials should be got approved from the EE before use)  </t>
  </si>
  <si>
    <t>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 (The brand should be got approved from the Executive Engineer before supply made).
 a.) Electric fan 1200mm sweep</t>
  </si>
  <si>
    <t>Charges for assembling and fixing of ceiling fan of different sweep with necessary connections and fixing of fan regulator on the existing board etc., all complete (Excluding cost of fan)</t>
  </si>
  <si>
    <t>Supply, assembling and fixing of 4' 18 watts  LED light fitting of four feet long ordinary patti, electronic ballast, slim tube light of 18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t>
  </si>
  <si>
    <t>Run of main with 2 wires of 1.5 sq.mm. PVC insulated single core multi strand fire retardant flexible copper cable with ISI mark conforming to IS: 694/1990, 1.1 kv grade cable with continuous earth by means of 1.5sq.mm PVC insulated single core multi strand fire retardant flexible copper cable with ISI mark conforming to IS: 694/1990, 1.1. k.v. grade cable in fully concealed   19mm/20mm dia rigid PVC conduit pipe heavy duty with ISI mark cost of all materials, specials etc., all complete.</t>
  </si>
  <si>
    <t>Run of main with 2 wires of 2.5 sq.mm. PVC insulated single core multi strand fire retardant flexible copper cable with ISI mark conforming to IS: 694/1990, 1.1 kv grade cable with continuous earth by means of 1.5sq.mm PVC insulated single core multi strand fire retardant flexible copper cable with ISI mark conforming to IS: 694/1990, 1.1. k.v. grade cable in fully concealed   19mm/20mm dia rigid PVC conduit pipe heavy duty with ISI mark cost of all materials, specials etc., all complete.</t>
  </si>
  <si>
    <t>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t>
  </si>
  <si>
    <t>Painting two coats with ready mixed PLASTIC EMULSION PAINT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</si>
  <si>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t>White washing three coat using clean shell lime slaked including cost of lime, gum, blue, brushes etc.</t>
  </si>
  <si>
    <t>Painting the old wood work with one coat of approved first class synthetic enamel ready mixed paint.</t>
  </si>
  <si>
    <t>Painting the old iron work with one coat of approved first class synthetic enamel ready mixed paint.</t>
  </si>
  <si>
    <t>Load</t>
  </si>
  <si>
    <t xml:space="preserve">Supplying of 3HP 3 phase submersible motor </t>
  </si>
  <si>
    <t>Dewatering and cleaning the sludge from septic tank using required skilled labour and hydralic pumpset and cleaning away from the site</t>
  </si>
  <si>
    <t>Providing one coat of Fosroc Nitocote AW primer and Two coats of Fosroc Brushbond roof guard high fibre reinforement acrylic single component water proofing coating over the primer surface area ones dries up one after another coat complete neat finish for pressed tiles</t>
  </si>
  <si>
    <t>Sub - Total</t>
  </si>
  <si>
    <t>GST 18%</t>
  </si>
  <si>
    <t xml:space="preserve">Labour   Welfare   fund @ 1.00%   </t>
  </si>
  <si>
    <t>Supervision   Charges  @  7.5 %</t>
  </si>
  <si>
    <t xml:space="preserve">      Say         Rs</t>
  </si>
  <si>
    <t>JE/AE</t>
  </si>
  <si>
    <t>Asst.Exe.Engineer</t>
  </si>
  <si>
    <t>Exe.Engineer</t>
  </si>
  <si>
    <t>Name of work :Special Repair works to Existing Police Station at Melchengam  in Thiruvannamalai district</t>
  </si>
  <si>
    <t>Sl No</t>
  </si>
  <si>
    <t>L</t>
  </si>
  <si>
    <t>D</t>
  </si>
  <si>
    <t>1.5</t>
  </si>
  <si>
    <t>Earth work excavation for open foundation in all soils and sub- soils etc all complete.</t>
  </si>
  <si>
    <t>A) 0m to 2m depth</t>
  </si>
  <si>
    <t>Sump 1</t>
  </si>
  <si>
    <t>x</t>
  </si>
  <si>
    <t>add Sundreis</t>
  </si>
  <si>
    <t>Cu.M</t>
  </si>
  <si>
    <t>Terrace</t>
  </si>
  <si>
    <t>Add Extra</t>
  </si>
  <si>
    <t>a. 0 to 2 mt</t>
  </si>
  <si>
    <t>Plinth protection</t>
  </si>
  <si>
    <r>
      <rPr>
        <b/>
        <sz val="10"/>
        <rFont val="Century"/>
        <family val="1"/>
      </rPr>
      <t xml:space="preserve">Supplying and filling in foundation and basement with filling sand </t>
    </r>
    <r>
      <rPr>
        <sz val="10"/>
        <rFont val="Century"/>
        <family val="1"/>
      </rPr>
      <t>in layers of 150mm thickness well watered, rammed and consolidated complying with relevant standard specification including cost of supplying filling sand.</t>
    </r>
  </si>
  <si>
    <r>
      <t>M</t>
    </r>
    <r>
      <rPr>
        <vertAlign val="superscript"/>
        <sz val="10"/>
        <rFont val="Century"/>
        <family val="1"/>
      </rPr>
      <t>3</t>
    </r>
  </si>
  <si>
    <t>Parapetwall</t>
  </si>
  <si>
    <t>Bath &amp; Toliet terrace</t>
  </si>
  <si>
    <t>Portico terrace</t>
  </si>
  <si>
    <t>Skirting</t>
  </si>
  <si>
    <t>Computer room</t>
  </si>
  <si>
    <t>Rest room</t>
  </si>
  <si>
    <t>Bath &amp; Toliet</t>
  </si>
  <si>
    <t>Bore to OHT</t>
  </si>
  <si>
    <t>Tank outlet</t>
  </si>
  <si>
    <t>WC &amp; Bath</t>
  </si>
  <si>
    <t>Portico pillar</t>
  </si>
  <si>
    <t>Sintax tank cover</t>
  </si>
  <si>
    <r>
      <rPr>
        <b/>
        <sz val="10"/>
        <color indexed="10"/>
        <rFont val="Times New Roman"/>
        <family val="1"/>
      </rPr>
      <t xml:space="preserve">Special ceiling Plastering with C.M 1:3 </t>
    </r>
    <r>
      <rPr>
        <sz val="10"/>
        <color indexed="10"/>
        <rFont val="Times New Roman"/>
        <family val="1"/>
      </rPr>
      <t>(One of cement and five of sand)</t>
    </r>
    <r>
      <rPr>
        <b/>
        <sz val="10"/>
        <color indexed="10"/>
        <rFont val="Times New Roman"/>
        <family val="1"/>
      </rPr>
      <t xml:space="preserve"> 10mm thick </t>
    </r>
    <r>
      <rPr>
        <sz val="10"/>
        <color indexed="10"/>
        <rFont val="Times New Roman"/>
        <family val="1"/>
      </rPr>
      <t>finished with neat cement including providing band cornice, ceiling cornice, curing, scaffolding, etc., complete in all respects and complying with relevant standard specifications.</t>
    </r>
  </si>
  <si>
    <t>Crack area</t>
  </si>
  <si>
    <t>Women Lockup</t>
  </si>
  <si>
    <t>Record room</t>
  </si>
  <si>
    <t>Men Lockup</t>
  </si>
  <si>
    <t>Toilet &amp; Bath</t>
  </si>
  <si>
    <t xml:space="preserve">Store </t>
  </si>
  <si>
    <t>Writer room</t>
  </si>
  <si>
    <t>SI room</t>
  </si>
  <si>
    <t>Hall</t>
  </si>
  <si>
    <t>Portico</t>
  </si>
  <si>
    <t>Rear wall</t>
  </si>
  <si>
    <t>Circular column</t>
  </si>
  <si>
    <t>Supplying, fabricating and placing in position of  Mild steel Grills / Ribbed Tor Steels of all diameters for reinforcement for all floors including cost of  binding wire, bending tying  and applying one coat of cement slurry etc., all complete in all respects.</t>
  </si>
  <si>
    <t>0.70 x 100 kg/ m3</t>
  </si>
  <si>
    <t>X</t>
  </si>
  <si>
    <t>A block</t>
  </si>
  <si>
    <t>B block</t>
  </si>
  <si>
    <t>D block</t>
  </si>
  <si>
    <t>E block</t>
  </si>
  <si>
    <t>G block</t>
  </si>
  <si>
    <t>H block</t>
  </si>
  <si>
    <t>C block</t>
  </si>
  <si>
    <t>Pumproom</t>
  </si>
  <si>
    <t>F block</t>
  </si>
  <si>
    <t>a) 110mm dia PVC SWR pipe including all required PVC specials etc., all complete.,</t>
  </si>
  <si>
    <t>S.Line PC/HC toilet</t>
  </si>
  <si>
    <t>b) 75mm dia PVC SWR pipe including all required PVC specials etc., all complete.,</t>
  </si>
  <si>
    <t>PC/HC Qtrs Bath</t>
  </si>
  <si>
    <t xml:space="preserve">Supplying and fixing of 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The door shutter of 40mm thick made out of one-piece molded superior quality Rigid Thermo Vinyl Polymer extruded sections with over all thickness of 40mm confirming to IS 10151-1982. the door shutter is made out of polymeric extruded sections in the configuration of ‘C’ and the over all dimension of the same is 25mm x 40mm with a wall thickness not less than 2.0mm. </t>
  </si>
  <si>
    <t>Bath &amp; Toilet</t>
  </si>
  <si>
    <t xml:space="preserve">Supplying and fixing CP Tap long body 15mm dia etc., complete </t>
  </si>
  <si>
    <t xml:space="preserve">Supplying and fixing CP Tap short body 15mm dia etc., complete </t>
  </si>
  <si>
    <t xml:space="preserve">Supplying and fixing EWC superior variety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
</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</si>
  <si>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</si>
  <si>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a. Light Point with Ceiling rose</t>
  </si>
  <si>
    <t>Street light</t>
  </si>
  <si>
    <t xml:space="preserve">Blk head </t>
  </si>
  <si>
    <t>Tube light</t>
  </si>
  <si>
    <t>b. Light Point without Ceiling rose</t>
  </si>
  <si>
    <t>Passage</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</si>
  <si>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 Fan Point</t>
  </si>
  <si>
    <t>SI Room</t>
  </si>
  <si>
    <t>Rest room &amp; Record room</t>
  </si>
  <si>
    <t>Police station</t>
  </si>
  <si>
    <t>Common toilet rear, portico</t>
  </si>
  <si>
    <t>Lockup room</t>
  </si>
  <si>
    <t>a. 12W LED Bulb</t>
  </si>
  <si>
    <t>For Bulk head</t>
  </si>
  <si>
    <t>SI room, Computer room, Station writer, Rest room</t>
  </si>
  <si>
    <t>Record room, store room</t>
  </si>
  <si>
    <t xml:space="preserve">DB to Hall, </t>
  </si>
  <si>
    <t>DB to computer room</t>
  </si>
  <si>
    <t>DB to property room</t>
  </si>
  <si>
    <t>For toilet</t>
  </si>
  <si>
    <t>For Rest room</t>
  </si>
  <si>
    <t>For Hall</t>
  </si>
  <si>
    <t>Add extra</t>
  </si>
  <si>
    <t>Providing Rain water Harvesting pit of 1m ia and 600m depth and filing te pit with 40mm stone jely to a depth of 300mm from the top of the Augering portion and filling with filling sand to a depth of 300mm ver the stone jelly and covered with the precast CC perforated slab of 40mm thick excluding the cost and fabrication of reinforcement frills but including precasting, moulding, curing, finishing and fixing in position etc all complete</t>
  </si>
  <si>
    <t>Station writer</t>
  </si>
  <si>
    <t>SI room and station writer</t>
  </si>
  <si>
    <t>Store</t>
  </si>
  <si>
    <t>Bath</t>
  </si>
  <si>
    <t>Lockuproom Women</t>
  </si>
  <si>
    <t>D/F GD</t>
  </si>
  <si>
    <t>D/F W1</t>
  </si>
  <si>
    <t>D/F W</t>
  </si>
  <si>
    <t>D/F GV</t>
  </si>
  <si>
    <t>Outer alround</t>
  </si>
  <si>
    <t>OTS Parapet</t>
  </si>
  <si>
    <t>W sunshade top</t>
  </si>
  <si>
    <t>W1 sunshade top</t>
  </si>
  <si>
    <t>Door</t>
  </si>
  <si>
    <t>Door1</t>
  </si>
  <si>
    <t>Grill door GD1</t>
  </si>
  <si>
    <t>Grill door GD</t>
  </si>
  <si>
    <t>Grill window</t>
  </si>
  <si>
    <t>Grill Ventilator</t>
  </si>
  <si>
    <t>E &amp; F Block</t>
  </si>
  <si>
    <t>A to J blocks</t>
  </si>
  <si>
    <t>Or</t>
  </si>
  <si>
    <t>SAY</t>
  </si>
  <si>
    <t>Provision for compound wall</t>
  </si>
  <si>
    <t>Dismantling and removing the existing weather course and pressed tiles etc complete</t>
  </si>
  <si>
    <t>terrace</t>
  </si>
  <si>
    <t xml:space="preserve">Labour charge for erection of 3HP 3 phase submersible motor </t>
  </si>
  <si>
    <t>Brick work in cm 1:4 (One of cement and five of sand) 110mm thick, using Kiln burnt country bricks of size8¾”x4¼”x2¾” (22x11x7cm) in foundation and basement including dewatering wherever necessary proper setting, curing etc., complete with relevant standard specifications. In foundation</t>
  </si>
  <si>
    <t>Supplying and fixing of Indian Water Closet white galzed (oriya type) of size 580 mm X 440 mm of approved make with ISI mark In Ground floor.</t>
  </si>
  <si>
    <t>Painting two coats with ready mixed PLASTIC EMULSION PAINT(Old wall) of first class quality paint of approved colour and shade over a priming coat on cement plastered / concrete wall surfaces or other similar works, including cost of necessary brushes, labour charges, patty etc ., completed with relevent standard specification. The paint should be supplied by the contractors at his own cost. (The quality and shade of the paint should be got approved by the Executive Engineer before use).</t>
  </si>
  <si>
    <r>
      <t xml:space="preserve">Supplying of 3HP 3 phase submersible motor </t>
    </r>
    <r>
      <rPr>
        <b/>
        <sz val="10"/>
        <rFont val="Times New Roman"/>
        <family val="1"/>
      </rPr>
      <t>qtn</t>
    </r>
  </si>
  <si>
    <r>
      <t>Dismantling and removing the existing weather course and pressed tiles etc complete.As per</t>
    </r>
    <r>
      <rPr>
        <b/>
        <sz val="10"/>
        <rFont val="Times New Roman"/>
        <family val="1"/>
      </rPr>
      <t xml:space="preserve"> PWD SR 2023-24 Pg: 22 </t>
    </r>
  </si>
  <si>
    <r>
      <t xml:space="preserve">Labour charge for erection of 3HP 3 phase submersible motor </t>
    </r>
    <r>
      <rPr>
        <b/>
        <sz val="10"/>
        <rFont val="Times New Roman"/>
        <family val="1"/>
      </rPr>
      <t>TWAD SR 2022-2023 PG:308</t>
    </r>
  </si>
  <si>
    <r>
      <t xml:space="preserve">Dewatering and cleaning the sludge from septic tank using required skilled labour and hydralic pumpset and cleaning away from the site </t>
    </r>
    <r>
      <rPr>
        <b/>
        <sz val="10"/>
        <rFont val="Times New Roman"/>
        <family val="1"/>
      </rPr>
      <t>Quotation</t>
    </r>
  </si>
  <si>
    <t>Melcgengam</t>
  </si>
  <si>
    <t>2023-2024</t>
  </si>
  <si>
    <t>pressed</t>
  </si>
  <si>
    <t>Uchimalaikuppam</t>
  </si>
  <si>
    <t>Allapanur</t>
  </si>
  <si>
    <t>Melchengam</t>
  </si>
  <si>
    <t>Chengam</t>
  </si>
  <si>
    <t>BASEMENT  WITH  FILLING SAND</t>
  </si>
  <si>
    <t>DOWN FALL PIPE    Type- A  SWR pipe</t>
  </si>
  <si>
    <t xml:space="preserve">110MM DIA OF PVC SWR PIPE INCLUDING </t>
  </si>
  <si>
    <t xml:space="preserve">75MM DIA OF PVC SWR PIPE INCLUDING </t>
  </si>
  <si>
    <t>SUPPLY AND FIXING OF E.W.C.   18" SIZE (WHITE)</t>
  </si>
  <si>
    <t/>
  </si>
  <si>
    <t>Mason IInd class</t>
  </si>
  <si>
    <t>A 300x200x75 mm=0.135m2</t>
  </si>
  <si>
    <t>COST OF Vertified TILES  qtn</t>
  </si>
  <si>
    <t>PAINTING TWO COATS OVER NEW           (as per PWD Standard Data)</t>
  </si>
  <si>
    <t>Melchengam PS</t>
  </si>
  <si>
    <r>
      <t xml:space="preserve">Supplying and fixing of UPVC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
    </r>
    <r>
      <rPr>
        <b/>
        <sz val="10"/>
        <rFont val="Times New Roman"/>
        <family val="1"/>
      </rPr>
      <t>PWD SR P-48/2023-24</t>
    </r>
  </si>
  <si>
    <r>
      <t xml:space="preserve">a. 12W LED Bulb </t>
    </r>
    <r>
      <rPr>
        <b/>
        <sz val="10"/>
        <rFont val="Times New Roman"/>
        <family val="1"/>
      </rPr>
      <t>Qtn</t>
    </r>
  </si>
  <si>
    <r>
      <t xml:space="preserve">COST OF Vertified TILES  </t>
    </r>
    <r>
      <rPr>
        <b/>
        <sz val="12"/>
        <color indexed="13"/>
        <rFont val="Cambria"/>
        <family val="1"/>
        <scheme val="major"/>
      </rPr>
      <t>qtn</t>
    </r>
  </si>
  <si>
    <t xml:space="preserve">Supply &amp; fixing of Ivory colour vitrified Tiles of size 59.5x59.5x10mm (Single charged) for florring and other similar works in cement mortar 1:3 (one of cement and theree of sand) 20mm thick including fixing in position, cutting the tiles to the required size wherever necessary pointing the joints with grout (Tile joint filler), curing, finishing etc., all completed and as directed by the departmental officers.(The brand quality of toles should be gotapproved from the EE before use.)  </t>
  </si>
  <si>
    <t>Supplying and fixing Mild Steel grills as per the design approved to verandah enclosure or gate including one coat of primer and labour for fixing in position etc., all complete</t>
  </si>
  <si>
    <t xml:space="preserve">Supplying and fixing of 4mm thick pin headed Glass panels with aluminium anodised ‘U’ shape beeding of size 12x12mm with 107 gram in average weight for 1m length with aluminium bolts and nuts for the shutters of the steel windows already supplied to suit all the size and as directed by the departmental officers. (The quality of glass and aluminium beeding should be got approved from the Executive Engineer before use). </t>
  </si>
  <si>
    <t>Supplying and fixing of colour ceramic tiles Anti skid of size 300x300x10mm without corrugated design for flooring and other similar works (best approved quality colour and shade shall be got approved from the EE before using) over cement 1:3 (one cement and three of sand) 20mm thick including  fixing in position, cutting the tiles to the required size wherever necessary, pointing the joints with grout (Tile joint filler) curing, finishing etc., all complete and as directed by the departmental officers.</t>
  </si>
  <si>
    <t xml:space="preserve">Tank </t>
  </si>
  <si>
    <t xml:space="preserve">Hall </t>
  </si>
  <si>
    <t>Store room</t>
  </si>
  <si>
    <t>SI</t>
  </si>
  <si>
    <t>SI writter</t>
  </si>
  <si>
    <t>Skerting</t>
  </si>
  <si>
    <t xml:space="preserve">Door jams </t>
  </si>
  <si>
    <t>Common WC</t>
  </si>
  <si>
    <t>SI toilet</t>
  </si>
  <si>
    <t xml:space="preserve">Ladder </t>
  </si>
  <si>
    <t>Station</t>
  </si>
  <si>
    <t>Rest and Hall</t>
  </si>
  <si>
    <t>Supplying and fixing of colour glazed tiles of size 200x300x8mm or other size (best approved quality and the same shall be got approved from the Executive Engineer before using) over cement plastering in CM 1:2 (one of cement and two of sand) 10mm thick including fixing in position, cutting the tiles to the reqauired size wherever necessary, pointing the joints with Grout (Tile joint filler), curing, finishing etc., all complete and as directed by the departmental officers.</t>
  </si>
  <si>
    <t>D/F toilet door</t>
  </si>
  <si>
    <t>door jams</t>
  </si>
  <si>
    <t xml:space="preserve">Projection </t>
  </si>
  <si>
    <t>Beam</t>
  </si>
  <si>
    <t>Supplying, laying, fixing and jointing the following UPVC pipes as per ASTMD-1785 of schedule 40 of wall thickness not less than specified in IS 4985 suitable for plumbing by threading of wall thickness including the cost of suitable PVC/GI specials/GM specials like elbow, Tee, reducers, plug, union, bend, coupler, nipple/GM gate vavle check and wheel valve etc., wherever required above the ground level including the cost of teflon tape, special clamps, nails, etc., fixing on wall to the proper gradient and alignment and redoing the chipped of masonry etc., as directed by the departmental officers.</t>
  </si>
  <si>
    <t>a)32mm dia</t>
  </si>
  <si>
    <t>b)25mm dia</t>
  </si>
  <si>
    <t xml:space="preserve">a)32mm dia </t>
  </si>
  <si>
    <t xml:space="preserve">b)25mm dia </t>
  </si>
  <si>
    <t xml:space="preserve">Pump room to tank </t>
  </si>
  <si>
    <t>Tank to toilet</t>
  </si>
  <si>
    <t>Ladder</t>
  </si>
  <si>
    <t xml:space="preserve">c)20mm dia </t>
  </si>
  <si>
    <t>c) 20mm dia</t>
  </si>
  <si>
    <t>Supplying and fixing 4mm thick pin</t>
  </si>
  <si>
    <t>Plastering with CM 1:3 (one of cement and four of sand) 20 mm thick finished with WPC for neat cement including providing band cornice, ceiling cornice, curing, scaffolding etc.... complete in all respects and complying with standard specifications.</t>
  </si>
  <si>
    <t>Plastering with CM 1:3 (one of cement and four of sand) 12 mm thick finished with WPC for neat cement including providing band cornice, ceiling cornice, curing, scaffolding etc.... complete in all respects and complying with standard specifications.</t>
  </si>
  <si>
    <t>JE/TVM</t>
  </si>
  <si>
    <t>AEE/TVM</t>
  </si>
  <si>
    <t>EE/TVM</t>
  </si>
  <si>
    <t>D/f D</t>
  </si>
  <si>
    <t>D/f D1</t>
  </si>
  <si>
    <t>D/f W</t>
  </si>
  <si>
    <t>D/f W1</t>
  </si>
  <si>
    <t>D/F V</t>
  </si>
  <si>
    <t xml:space="preserve">D/F GD </t>
  </si>
  <si>
    <t>D/F Open</t>
  </si>
  <si>
    <t>D/F collapsal gate</t>
  </si>
  <si>
    <t>D jams</t>
  </si>
  <si>
    <t>D1 jams</t>
  </si>
  <si>
    <t>W jams</t>
  </si>
  <si>
    <t>W1 jams</t>
  </si>
  <si>
    <t>GD jams</t>
  </si>
  <si>
    <t xml:space="preserve">Collapsal gate </t>
  </si>
  <si>
    <t>GV jams</t>
  </si>
  <si>
    <t>V jams</t>
  </si>
  <si>
    <t>Open jams</t>
  </si>
  <si>
    <t>Jally Jams J (1.8 x1.65)</t>
  </si>
  <si>
    <t>Jally Jams J1 (1.9x1.3)</t>
  </si>
  <si>
    <t>Lock up room toilet</t>
  </si>
  <si>
    <t>Terrace high roof wall</t>
  </si>
  <si>
    <t xml:space="preserve">jams GD </t>
  </si>
  <si>
    <t>jams</t>
  </si>
  <si>
    <t>edges</t>
  </si>
  <si>
    <t>sides</t>
  </si>
  <si>
    <t>Slope front</t>
  </si>
  <si>
    <t>Men Lockup offset</t>
  </si>
  <si>
    <t>Beam side</t>
  </si>
  <si>
    <t xml:space="preserve">Projection high roof </t>
  </si>
  <si>
    <t>W1</t>
  </si>
  <si>
    <t>W</t>
  </si>
  <si>
    <t>Weathering Course with concrete broken brick jelly 20mm gauge in pure burnt stone lime slaked and screened (No Sand) over RCC Roof Slab with proportion of brick jelly to lime (fat lime) being 32: 12 1/2 by volume well beaten with wooden beaters for giving the required slope and thickness complying with relevant standard specification and as directed by the departmental officers.</t>
  </si>
  <si>
    <t xml:space="preserve">JE/TVM                                                AEE/TVM                                                    EE/SLM </t>
  </si>
  <si>
    <t xml:space="preserve">Passage </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</si>
</sst>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Rs.&quot;\ #,##0;&quot;Rs.&quot;\ \-#,##0"/>
    <numFmt numFmtId="8" formatCode="&quot;Rs.&quot;\ #,##0.00;[Red]&quot;Rs.&quot;\ \-#,##0.00"/>
    <numFmt numFmtId="164" formatCode="&quot;$&quot;#,##0_);[Red]\(&quot;$&quot;#,##0\)"/>
    <numFmt numFmtId="165" formatCode="_(&quot;$&quot;* #,##0_);_(&quot;$&quot;* \(#,##0\);_(&quot;$&quot;* &quot;-&quot;_);_(@_)"/>
    <numFmt numFmtId="166" formatCode="_(* #,##0.00_);_(* \(#,##0.00\);_(* &quot;-&quot;??_);_(@_)"/>
    <numFmt numFmtId="167" formatCode="&quot;₹&quot;\ #,##0;&quot;₹&quot;\ \-#,##0"/>
    <numFmt numFmtId="168" formatCode="_ &quot;₹&quot;\ * #,##0.00_ ;_ &quot;₹&quot;\ * \-#,##0.00_ ;_ &quot;₹&quot;\ * &quot;-&quot;??_ ;_ @_ "/>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182">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
      <b/>
      <u val="double"/>
      <sz val="10"/>
      <name val="Times New Roman"/>
      <family val="1"/>
    </font>
    <font>
      <sz val="10"/>
      <name val="Times New Roman"/>
      <family val="1"/>
    </font>
    <font>
      <b/>
      <sz val="10"/>
      <name val="Times New Roman"/>
      <family val="1"/>
    </font>
    <font>
      <b/>
      <u/>
      <sz val="10"/>
      <name val="Times New Roman"/>
      <family val="1"/>
    </font>
    <font>
      <sz val="10"/>
      <name val="Arial"/>
      <family val="2"/>
    </font>
    <font>
      <u val="double"/>
      <sz val="10"/>
      <name val="Times New Roman"/>
      <family val="1"/>
    </font>
    <font>
      <sz val="10"/>
      <name val="Century"/>
      <family val="1"/>
    </font>
    <font>
      <b/>
      <sz val="10"/>
      <name val="Century"/>
      <family val="1"/>
    </font>
    <font>
      <vertAlign val="superscript"/>
      <sz val="10"/>
      <name val="Century"/>
      <family val="1"/>
    </font>
    <font>
      <sz val="10"/>
      <color rgb="FFFF0000"/>
      <name val="Times New Roman"/>
      <family val="1"/>
    </font>
    <font>
      <b/>
      <sz val="10"/>
      <color rgb="FFFF0000"/>
      <name val="Times New Roman"/>
      <family val="1"/>
    </font>
    <font>
      <b/>
      <sz val="10"/>
      <color indexed="10"/>
      <name val="Times New Roman"/>
      <family val="1"/>
    </font>
    <font>
      <sz val="10"/>
      <color indexed="10"/>
      <name val="Times New Roman"/>
      <family val="1"/>
    </font>
    <font>
      <sz val="11"/>
      <color rgb="FFFF0000"/>
      <name val="Times New Roman"/>
      <family val="1"/>
    </font>
    <font>
      <u/>
      <sz val="10"/>
      <name val="Times New Roman"/>
      <family val="1"/>
    </font>
    <font>
      <b/>
      <sz val="10"/>
      <color theme="1"/>
      <name val="Times New Roman"/>
      <family val="1"/>
    </font>
    <font>
      <sz val="10"/>
      <color theme="1"/>
      <name val="Times New Roman"/>
      <family val="1"/>
    </font>
    <font>
      <sz val="10"/>
      <color rgb="FF000000"/>
      <name val="Times New Roman"/>
      <family val="1"/>
    </font>
    <font>
      <b/>
      <sz val="12"/>
      <color rgb="FF000000"/>
      <name val="Cambria"/>
      <family val="1"/>
      <scheme val="major"/>
    </font>
    <font>
      <sz val="13"/>
      <color rgb="FF00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1">
    <xf numFmtId="169" fontId="0" fillId="0" borderId="0"/>
    <xf numFmtId="166" fontId="1" fillId="0" borderId="0" applyFont="0" applyFill="0" applyBorder="0" applyAlignment="0" applyProtection="0"/>
    <xf numFmtId="164" fontId="24" fillId="0" borderId="0" applyFont="0" applyFill="0" applyBorder="0" applyAlignment="0" applyProtection="0"/>
    <xf numFmtId="166" fontId="14" fillId="0" borderId="0" applyFont="0" applyFill="0" applyBorder="0" applyAlignment="0" applyProtection="0"/>
    <xf numFmtId="8"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9" fontId="29" fillId="0" borderId="0"/>
    <xf numFmtId="165" fontId="5" fillId="0" borderId="0"/>
    <xf numFmtId="0" fontId="14" fillId="0" borderId="0"/>
    <xf numFmtId="5"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5" fontId="5" fillId="0" borderId="0"/>
    <xf numFmtId="167" fontId="5" fillId="0" borderId="0"/>
    <xf numFmtId="0" fontId="14" fillId="0" borderId="0"/>
    <xf numFmtId="169" fontId="5" fillId="0" borderId="0"/>
    <xf numFmtId="169" fontId="5" fillId="0" borderId="0"/>
    <xf numFmtId="0" fontId="36" fillId="0" borderId="0"/>
    <xf numFmtId="0" fontId="14" fillId="0" borderId="0"/>
    <xf numFmtId="0" fontId="14" fillId="0" borderId="0"/>
    <xf numFmtId="0" fontId="36" fillId="0" borderId="0"/>
    <xf numFmtId="168" fontId="5" fillId="0" borderId="0"/>
    <xf numFmtId="168" fontId="5" fillId="0" borderId="0"/>
    <xf numFmtId="168" fontId="5" fillId="0" borderId="0"/>
    <xf numFmtId="181"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xf numFmtId="0" fontId="166" fillId="0" borderId="0"/>
    <xf numFmtId="0" fontId="1" fillId="0" borderId="0"/>
    <xf numFmtId="0" fontId="1" fillId="0" borderId="0"/>
    <xf numFmtId="169" fontId="5" fillId="0" borderId="0"/>
    <xf numFmtId="0" fontId="5" fillId="0" borderId="0"/>
    <xf numFmtId="5" fontId="5" fillId="0" borderId="0"/>
    <xf numFmtId="0" fontId="1" fillId="0" borderId="0"/>
    <xf numFmtId="0" fontId="1" fillId="0" borderId="0"/>
    <xf numFmtId="0" fontId="26" fillId="0" borderId="0"/>
    <xf numFmtId="0" fontId="1" fillId="0" borderId="0"/>
    <xf numFmtId="0" fontId="179" fillId="0" borderId="0"/>
  </cellStyleXfs>
  <cellXfs count="1227">
    <xf numFmtId="169" fontId="0" fillId="0" borderId="0" xfId="0"/>
    <xf numFmtId="169" fontId="0" fillId="0" borderId="0" xfId="0" applyAlignment="1">
      <alignment horizontal="left"/>
    </xf>
    <xf numFmtId="169" fontId="0" fillId="0" borderId="0" xfId="0" applyAlignment="1">
      <alignment horizontal="center"/>
    </xf>
    <xf numFmtId="169" fontId="0" fillId="0" borderId="0" xfId="0" applyAlignment="1">
      <alignment horizontal="fill"/>
    </xf>
    <xf numFmtId="169" fontId="0" fillId="0" borderId="0" xfId="0" applyAlignment="1">
      <alignment horizontal="right"/>
    </xf>
    <xf numFmtId="171" fontId="0" fillId="0" borderId="0" xfId="0" applyNumberFormat="1"/>
    <xf numFmtId="173" fontId="0" fillId="0" borderId="0" xfId="0" applyNumberFormat="1"/>
    <xf numFmtId="174" fontId="0" fillId="0" borderId="0" xfId="0" applyNumberFormat="1"/>
    <xf numFmtId="171" fontId="0" fillId="0" borderId="0" xfId="0" applyNumberFormat="1" applyAlignment="1">
      <alignment horizontal="center"/>
    </xf>
    <xf numFmtId="172" fontId="0" fillId="0" borderId="0" xfId="0" applyNumberFormat="1" applyAlignment="1">
      <alignment horizontal="center"/>
    </xf>
    <xf numFmtId="169" fontId="4" fillId="0" borderId="0" xfId="0" applyFont="1" applyAlignment="1">
      <alignment horizontal="left"/>
    </xf>
    <xf numFmtId="169" fontId="4" fillId="0" borderId="0" xfId="0" applyFont="1"/>
    <xf numFmtId="169" fontId="4" fillId="0" borderId="0" xfId="0" applyFont="1" applyAlignment="1">
      <alignment horizontal="center"/>
    </xf>
    <xf numFmtId="169" fontId="5" fillId="0" borderId="0" xfId="0" applyFont="1"/>
    <xf numFmtId="169" fontId="0" fillId="0" borderId="0" xfId="0" quotePrefix="1"/>
    <xf numFmtId="169" fontId="5" fillId="0" borderId="0" xfId="0" quotePrefix="1" applyFont="1"/>
    <xf numFmtId="169" fontId="5" fillId="0" borderId="0" xfId="0" applyFont="1" applyAlignment="1">
      <alignment horizontal="left"/>
    </xf>
    <xf numFmtId="171" fontId="5" fillId="0" borderId="0" xfId="0" applyNumberFormat="1" applyFont="1"/>
    <xf numFmtId="174" fontId="5" fillId="0" borderId="0" xfId="0" applyNumberFormat="1" applyFont="1"/>
    <xf numFmtId="173" fontId="5" fillId="0" borderId="0" xfId="0" applyNumberFormat="1" applyFont="1"/>
    <xf numFmtId="2" fontId="0" fillId="0" borderId="0" xfId="0" applyNumberFormat="1"/>
    <xf numFmtId="2" fontId="4" fillId="0" borderId="0" xfId="0" applyNumberFormat="1" applyFont="1"/>
    <xf numFmtId="169" fontId="3" fillId="0" borderId="0" xfId="0" applyFont="1" applyAlignment="1">
      <alignment horizontal="left"/>
    </xf>
    <xf numFmtId="169" fontId="3" fillId="0" borderId="0" xfId="0" applyFont="1"/>
    <xf numFmtId="169" fontId="9" fillId="0" borderId="0" xfId="0" applyFont="1"/>
    <xf numFmtId="169" fontId="9" fillId="0" borderId="0" xfId="0" applyFont="1" applyAlignment="1">
      <alignment horizontal="center"/>
    </xf>
    <xf numFmtId="169" fontId="9" fillId="0" borderId="0" xfId="0" applyFont="1" applyAlignment="1">
      <alignment horizontal="right"/>
    </xf>
    <xf numFmtId="169" fontId="3" fillId="0" borderId="0" xfId="0" applyFont="1" applyAlignment="1">
      <alignment horizontal="right"/>
    </xf>
    <xf numFmtId="169" fontId="9" fillId="0" borderId="0" xfId="0" applyFont="1" applyAlignment="1">
      <alignment horizontal="left"/>
    </xf>
    <xf numFmtId="169" fontId="9" fillId="0" borderId="0" xfId="0" applyFont="1" applyAlignment="1">
      <alignment horizontal="fill"/>
    </xf>
    <xf numFmtId="169" fontId="3" fillId="0" borderId="0" xfId="0" applyFont="1" applyAlignment="1">
      <alignment horizontal="center"/>
    </xf>
    <xf numFmtId="169" fontId="9" fillId="0" borderId="0" xfId="0" applyFont="1" applyAlignment="1">
      <alignment horizontal="left" wrapText="1"/>
    </xf>
    <xf numFmtId="173" fontId="9" fillId="0" borderId="0" xfId="0" applyNumberFormat="1" applyFont="1"/>
    <xf numFmtId="174" fontId="9" fillId="0" borderId="0" xfId="0" applyNumberFormat="1" applyFont="1"/>
    <xf numFmtId="173" fontId="9" fillId="0" borderId="0" xfId="0" applyNumberFormat="1" applyFont="1" applyAlignment="1">
      <alignment horizontal="left"/>
    </xf>
    <xf numFmtId="174" fontId="4" fillId="0" borderId="0" xfId="0" applyNumberFormat="1" applyFont="1" applyAlignment="1">
      <alignment horizontal="right"/>
    </xf>
    <xf numFmtId="169" fontId="11" fillId="0" borderId="0" xfId="0" applyFont="1"/>
    <xf numFmtId="169" fontId="4" fillId="0" borderId="0" xfId="0" applyFont="1" applyAlignment="1">
      <alignment wrapText="1"/>
    </xf>
    <xf numFmtId="169" fontId="10" fillId="0" borderId="0" xfId="0" applyFont="1"/>
    <xf numFmtId="169" fontId="0" fillId="0" borderId="0" xfId="0" applyAlignment="1">
      <alignment vertical="top" wrapText="1"/>
    </xf>
    <xf numFmtId="169" fontId="2" fillId="0" borderId="0" xfId="0" applyFont="1" applyAlignment="1">
      <alignment horizontal="left"/>
    </xf>
    <xf numFmtId="171" fontId="3" fillId="0" borderId="0" xfId="0" applyNumberFormat="1" applyFont="1" applyAlignment="1">
      <alignment horizontal="right"/>
    </xf>
    <xf numFmtId="174" fontId="3" fillId="0" borderId="0" xfId="0" applyNumberFormat="1" applyFont="1" applyAlignment="1">
      <alignment horizontal="right"/>
    </xf>
    <xf numFmtId="173" fontId="9" fillId="0" borderId="0" xfId="0" applyNumberFormat="1" applyFont="1" applyAlignment="1">
      <alignment horizontal="right"/>
    </xf>
    <xf numFmtId="171" fontId="9" fillId="0" borderId="0" xfId="0" applyNumberFormat="1" applyFont="1" applyAlignment="1">
      <alignment horizontal="right"/>
    </xf>
    <xf numFmtId="171" fontId="4" fillId="0" borderId="0" xfId="0" applyNumberFormat="1" applyFont="1"/>
    <xf numFmtId="171" fontId="0" fillId="0" borderId="0" xfId="0" applyNumberFormat="1" applyAlignment="1">
      <alignment horizontal="right"/>
    </xf>
    <xf numFmtId="169" fontId="40" fillId="0" borderId="0" xfId="0" applyFont="1"/>
    <xf numFmtId="169" fontId="0" fillId="9" borderId="0" xfId="0" applyFill="1"/>
    <xf numFmtId="169" fontId="10" fillId="0" borderId="0" xfId="0" applyFont="1" applyAlignment="1">
      <alignment horizontal="left"/>
    </xf>
    <xf numFmtId="169" fontId="7" fillId="0" borderId="0" xfId="0" applyFont="1"/>
    <xf numFmtId="169" fontId="41" fillId="0" borderId="0" xfId="0" applyFont="1"/>
    <xf numFmtId="169" fontId="43" fillId="0" borderId="0" xfId="0" applyFont="1"/>
    <xf numFmtId="169" fontId="44" fillId="0" borderId="0" xfId="0" applyFont="1"/>
    <xf numFmtId="169" fontId="44" fillId="0" borderId="0" xfId="0" applyFont="1" applyAlignment="1">
      <alignment horizontal="center"/>
    </xf>
    <xf numFmtId="169" fontId="8" fillId="0" borderId="0" xfId="0" applyFont="1" applyAlignment="1">
      <alignment horizontal="center"/>
    </xf>
    <xf numFmtId="169" fontId="7" fillId="0" borderId="0" xfId="0" applyFont="1" applyAlignment="1">
      <alignment horizontal="center"/>
    </xf>
    <xf numFmtId="171" fontId="7" fillId="0" borderId="0" xfId="0" applyNumberFormat="1" applyFont="1"/>
    <xf numFmtId="174" fontId="7" fillId="0" borderId="0" xfId="0" applyNumberFormat="1" applyFont="1"/>
    <xf numFmtId="169" fontId="7" fillId="0" borderId="0" xfId="0" applyFont="1" applyAlignment="1">
      <alignment horizontal="left"/>
    </xf>
    <xf numFmtId="169" fontId="8" fillId="0" borderId="0" xfId="0" applyFont="1" applyAlignment="1">
      <alignment horizontal="right"/>
    </xf>
    <xf numFmtId="169" fontId="8" fillId="0" borderId="0" xfId="0" applyFont="1"/>
    <xf numFmtId="169" fontId="8" fillId="0" borderId="0" xfId="0" applyFont="1" applyAlignment="1">
      <alignment horizontal="left"/>
    </xf>
    <xf numFmtId="169" fontId="7" fillId="0" borderId="0" xfId="0" applyFont="1" applyAlignment="1">
      <alignment horizontal="right"/>
    </xf>
    <xf numFmtId="169" fontId="7" fillId="0" borderId="0" xfId="0" applyFont="1" applyAlignment="1">
      <alignment horizontal="fill"/>
    </xf>
    <xf numFmtId="169" fontId="11" fillId="0" borderId="0" xfId="0" applyFont="1" applyAlignment="1">
      <alignment horizontal="center"/>
    </xf>
    <xf numFmtId="169" fontId="16" fillId="0" borderId="0" xfId="0" applyFont="1" applyAlignment="1">
      <alignment vertical="center"/>
    </xf>
    <xf numFmtId="169" fontId="17" fillId="0" borderId="0" xfId="0" applyFont="1" applyAlignment="1">
      <alignment vertical="center"/>
    </xf>
    <xf numFmtId="169" fontId="17" fillId="0" borderId="0" xfId="0" applyFont="1" applyAlignment="1">
      <alignment horizontal="center" vertical="center"/>
    </xf>
    <xf numFmtId="169" fontId="16" fillId="0" borderId="0" xfId="0" applyFont="1" applyAlignment="1">
      <alignment horizontal="center" vertical="center"/>
    </xf>
    <xf numFmtId="169" fontId="16" fillId="0" borderId="0" xfId="0" applyFont="1" applyAlignment="1">
      <alignment horizontal="left" vertical="center"/>
    </xf>
    <xf numFmtId="0" fontId="16" fillId="0" borderId="0" xfId="0" applyNumberFormat="1" applyFont="1" applyAlignment="1">
      <alignment vertical="center" wrapText="1"/>
    </xf>
    <xf numFmtId="169" fontId="16" fillId="0" borderId="0" xfId="0" applyFont="1" applyAlignment="1">
      <alignment horizontal="left" vertical="center" wrapText="1"/>
    </xf>
    <xf numFmtId="169"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7"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8"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4"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9" fontId="39" fillId="0" borderId="0" xfId="0" applyFont="1"/>
    <xf numFmtId="169" fontId="7" fillId="0" borderId="0" xfId="0" applyFont="1" applyAlignment="1">
      <alignment horizontal="left" wrapText="1"/>
    </xf>
    <xf numFmtId="0" fontId="4" fillId="0" borderId="0" xfId="0" applyNumberFormat="1" applyFont="1"/>
    <xf numFmtId="171" fontId="13" fillId="0" borderId="0" xfId="0" applyNumberFormat="1" applyFont="1"/>
    <xf numFmtId="169" fontId="13" fillId="0" borderId="0" xfId="0" applyFont="1"/>
    <xf numFmtId="169" fontId="12" fillId="0" borderId="0" xfId="0" applyFont="1"/>
    <xf numFmtId="169" fontId="13" fillId="0" borderId="0" xfId="0" applyFont="1" applyAlignment="1">
      <alignment horizontal="left"/>
    </xf>
    <xf numFmtId="0" fontId="13" fillId="0" borderId="0" xfId="0" applyNumberFormat="1" applyFont="1"/>
    <xf numFmtId="169" fontId="13" fillId="0" borderId="0" xfId="0" applyFont="1" applyAlignment="1">
      <alignment horizontal="center"/>
    </xf>
    <xf numFmtId="169" fontId="12" fillId="0" borderId="0" xfId="0" applyFont="1" applyAlignment="1">
      <alignment horizontal="right"/>
    </xf>
    <xf numFmtId="169" fontId="0" fillId="9" borderId="0" xfId="0" applyFill="1" applyAlignment="1">
      <alignment horizontal="left"/>
    </xf>
    <xf numFmtId="174" fontId="39" fillId="0" borderId="0" xfId="0" applyNumberFormat="1" applyFont="1" applyAlignment="1">
      <alignment vertical="top"/>
    </xf>
    <xf numFmtId="174" fontId="42" fillId="0" borderId="0" xfId="0" applyNumberFormat="1" applyFont="1" applyAlignment="1">
      <alignment horizontal="right"/>
    </xf>
    <xf numFmtId="174" fontId="9" fillId="0" borderId="0" xfId="0" applyNumberFormat="1" applyFont="1" applyAlignment="1">
      <alignment horizontal="center"/>
    </xf>
    <xf numFmtId="169" fontId="3" fillId="0" borderId="0" xfId="0" applyFont="1" applyAlignment="1">
      <alignment vertical="top"/>
    </xf>
    <xf numFmtId="0" fontId="0" fillId="0" borderId="0" xfId="0" applyNumberFormat="1" applyAlignment="1">
      <alignment horizontal="center" vertical="center"/>
    </xf>
    <xf numFmtId="169" fontId="39" fillId="0" borderId="0" xfId="0" applyFont="1" applyAlignment="1">
      <alignment horizontal="right"/>
    </xf>
    <xf numFmtId="0" fontId="0" fillId="9" borderId="0" xfId="0" applyNumberFormat="1" applyFill="1"/>
    <xf numFmtId="177" fontId="0" fillId="0" borderId="0" xfId="0" applyNumberFormat="1"/>
    <xf numFmtId="177" fontId="39" fillId="0" borderId="0" xfId="0" applyNumberFormat="1" applyFont="1"/>
    <xf numFmtId="0" fontId="46" fillId="9" borderId="0" xfId="0" applyNumberFormat="1" applyFont="1" applyFill="1"/>
    <xf numFmtId="0" fontId="47" fillId="9" borderId="0" xfId="0" applyNumberFormat="1" applyFont="1" applyFill="1"/>
    <xf numFmtId="169" fontId="9" fillId="0" borderId="0" xfId="0" applyFont="1" applyAlignment="1">
      <alignment vertical="top"/>
    </xf>
    <xf numFmtId="169" fontId="9" fillId="9" borderId="0" xfId="0" applyFont="1" applyFill="1"/>
    <xf numFmtId="169" fontId="9" fillId="9" borderId="0" xfId="0" applyFont="1" applyFill="1" applyAlignment="1">
      <alignment horizontal="center"/>
    </xf>
    <xf numFmtId="169" fontId="15" fillId="0" borderId="0" xfId="0" applyFont="1" applyAlignment="1">
      <alignment horizontal="left"/>
    </xf>
    <xf numFmtId="169" fontId="9" fillId="0" borderId="0" xfId="0" applyFont="1" applyAlignment="1">
      <alignment wrapText="1"/>
    </xf>
    <xf numFmtId="169" fontId="15" fillId="0" borderId="0" xfId="0" applyFont="1" applyAlignment="1">
      <alignment horizontal="left" wrapText="1"/>
    </xf>
    <xf numFmtId="174" fontId="3" fillId="0" borderId="0" xfId="0" applyNumberFormat="1" applyFont="1"/>
    <xf numFmtId="0" fontId="26" fillId="0" borderId="0" xfId="0" applyNumberFormat="1" applyFont="1" applyAlignment="1">
      <alignment vertical="top"/>
    </xf>
    <xf numFmtId="169" fontId="27" fillId="0" borderId="0" xfId="0" applyFont="1" applyAlignment="1">
      <alignment horizontal="center"/>
    </xf>
    <xf numFmtId="169"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7"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6"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9" fontId="26" fillId="0" borderId="0" xfId="0" applyFont="1" applyAlignment="1">
      <alignment vertical="top"/>
    </xf>
    <xf numFmtId="2" fontId="48" fillId="0" borderId="0" xfId="13" applyNumberFormat="1" applyFont="1" applyAlignment="1">
      <alignment vertical="top"/>
    </xf>
    <xf numFmtId="169"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9"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6"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9" fontId="25" fillId="0" borderId="0" xfId="0" applyFont="1" applyAlignment="1">
      <alignment horizontal="left" vertical="top"/>
    </xf>
    <xf numFmtId="169" fontId="26" fillId="0" borderId="0" xfId="0" applyFont="1" applyAlignment="1">
      <alignment horizontal="center" vertical="top"/>
    </xf>
    <xf numFmtId="169" fontId="25" fillId="0" borderId="0" xfId="0" applyFont="1" applyAlignment="1">
      <alignment horizontal="right" vertical="top"/>
    </xf>
    <xf numFmtId="169" fontId="26" fillId="0" borderId="0" xfId="0" applyFont="1" applyAlignment="1">
      <alignment horizontal="fill" vertical="top"/>
    </xf>
    <xf numFmtId="169"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9" fontId="60" fillId="0" borderId="0" xfId="0" applyFont="1" applyAlignment="1">
      <alignment horizontal="center" vertical="top"/>
    </xf>
    <xf numFmtId="169" fontId="60" fillId="0" borderId="0" xfId="0" applyFont="1"/>
    <xf numFmtId="169" fontId="60" fillId="0" borderId="0" xfId="0" applyFont="1" applyAlignment="1">
      <alignment horizontal="center"/>
    </xf>
    <xf numFmtId="169" fontId="61" fillId="0" borderId="0" xfId="0" applyFont="1" applyAlignment="1">
      <alignment horizontal="center" vertical="center"/>
    </xf>
    <xf numFmtId="169" fontId="62" fillId="0" borderId="0" xfId="0" applyFont="1" applyAlignment="1">
      <alignment horizontal="center"/>
    </xf>
    <xf numFmtId="169" fontId="62" fillId="0" borderId="0" xfId="0" applyFont="1" applyAlignment="1">
      <alignment horizontal="center" vertical="center"/>
    </xf>
    <xf numFmtId="169" fontId="62" fillId="0" borderId="0" xfId="0" applyFont="1" applyAlignment="1">
      <alignment vertical="top"/>
    </xf>
    <xf numFmtId="169" fontId="62" fillId="0" borderId="0" xfId="0" applyFont="1" applyAlignment="1">
      <alignment horizontal="left" vertical="top" wrapText="1"/>
    </xf>
    <xf numFmtId="169" fontId="60" fillId="0" borderId="0" xfId="0" applyFont="1" applyAlignment="1">
      <alignment vertical="top"/>
    </xf>
    <xf numFmtId="169" fontId="60" fillId="0" borderId="0" xfId="0" applyFont="1" applyAlignment="1">
      <alignment horizontal="left" vertical="top" wrapText="1"/>
    </xf>
    <xf numFmtId="169" fontId="60" fillId="0" borderId="0" xfId="0" applyFont="1" applyAlignment="1">
      <alignment horizontal="left" vertical="top"/>
    </xf>
    <xf numFmtId="169" fontId="60" fillId="0" borderId="0" xfId="0" applyFont="1" applyAlignment="1">
      <alignment vertical="top" wrapText="1"/>
    </xf>
    <xf numFmtId="169" fontId="63" fillId="0" borderId="0" xfId="0" applyFont="1" applyAlignment="1">
      <alignment horizontal="left" vertical="top"/>
    </xf>
    <xf numFmtId="169" fontId="64" fillId="0" borderId="0" xfId="0" applyFont="1" applyAlignment="1">
      <alignment horizontal="left" vertical="top"/>
    </xf>
    <xf numFmtId="171" fontId="60" fillId="0" borderId="0" xfId="0" applyNumberFormat="1" applyFont="1" applyAlignment="1">
      <alignment horizontal="left" vertical="top"/>
    </xf>
    <xf numFmtId="169" fontId="65" fillId="0" borderId="0" xfId="0" applyFont="1" applyAlignment="1">
      <alignment horizontal="left" vertical="top"/>
    </xf>
    <xf numFmtId="12" fontId="60" fillId="0" borderId="0" xfId="0" applyNumberFormat="1" applyFont="1" applyAlignment="1">
      <alignment horizontal="left" vertical="top"/>
    </xf>
    <xf numFmtId="169" fontId="60" fillId="0" borderId="0" xfId="0" applyFont="1" applyAlignment="1">
      <alignment wrapText="1"/>
    </xf>
    <xf numFmtId="169" fontId="60" fillId="0" borderId="0" xfId="0" applyFont="1" applyAlignment="1">
      <alignment horizontal="right" vertical="top"/>
    </xf>
    <xf numFmtId="169" fontId="66" fillId="0" borderId="0" xfId="0" applyFont="1" applyAlignment="1">
      <alignment horizontal="left" vertical="top"/>
    </xf>
    <xf numFmtId="169" fontId="62" fillId="0" borderId="0" xfId="0" applyFont="1" applyAlignment="1">
      <alignment horizontal="right" vertical="top"/>
    </xf>
    <xf numFmtId="169" fontId="62" fillId="0" borderId="0" xfId="0" applyFont="1" applyAlignment="1">
      <alignment horizontal="left" vertical="top"/>
    </xf>
    <xf numFmtId="169" fontId="68" fillId="0" borderId="0" xfId="0" applyFont="1" applyAlignment="1">
      <alignment horizontal="left" vertical="top"/>
    </xf>
    <xf numFmtId="169" fontId="62" fillId="0" borderId="0" xfId="0" applyFont="1"/>
    <xf numFmtId="169" fontId="62" fillId="0" borderId="0" xfId="0" applyFont="1" applyAlignment="1">
      <alignment horizontal="left" wrapText="1"/>
    </xf>
    <xf numFmtId="169" fontId="62" fillId="0" borderId="0" xfId="0" applyFont="1" applyAlignment="1">
      <alignment horizontal="left"/>
    </xf>
    <xf numFmtId="169" fontId="64" fillId="0" borderId="0" xfId="0" applyFont="1" applyAlignment="1">
      <alignment horizontal="left" vertical="top" wrapText="1"/>
    </xf>
    <xf numFmtId="174" fontId="60" fillId="0" borderId="0" xfId="0" applyNumberFormat="1" applyFont="1" applyAlignment="1">
      <alignment horizontal="left" vertical="top"/>
    </xf>
    <xf numFmtId="169" fontId="70" fillId="0" borderId="0" xfId="0" applyFont="1" applyAlignment="1">
      <alignment horizontal="left" vertical="top"/>
    </xf>
    <xf numFmtId="169" fontId="68" fillId="0" borderId="0" xfId="0" applyFont="1" applyAlignment="1">
      <alignment horizontal="center" vertical="top"/>
    </xf>
    <xf numFmtId="169" fontId="60" fillId="8" borderId="0" xfId="0" applyFont="1" applyFill="1" applyAlignment="1">
      <alignment horizontal="left" vertical="top"/>
    </xf>
    <xf numFmtId="169" fontId="62" fillId="8" borderId="0" xfId="0" applyFont="1" applyFill="1" applyAlignment="1">
      <alignment horizontal="left" vertical="top"/>
    </xf>
    <xf numFmtId="169" fontId="60" fillId="8" borderId="0" xfId="0" applyFont="1" applyFill="1"/>
    <xf numFmtId="169" fontId="60" fillId="9" borderId="0" xfId="0" applyFont="1" applyFill="1" applyAlignment="1">
      <alignment vertical="top" wrapText="1"/>
    </xf>
    <xf numFmtId="169" fontId="60" fillId="9" borderId="0" xfId="0" applyFont="1" applyFill="1" applyAlignment="1">
      <alignment horizontal="left" vertical="top"/>
    </xf>
    <xf numFmtId="169" fontId="65" fillId="9" borderId="0" xfId="0" applyFont="1" applyFill="1" applyAlignment="1">
      <alignment horizontal="left" vertical="top" wrapText="1"/>
    </xf>
    <xf numFmtId="169" fontId="64" fillId="9" borderId="0" xfId="0" applyFont="1" applyFill="1" applyAlignment="1">
      <alignment horizontal="left" vertical="top"/>
    </xf>
    <xf numFmtId="169" fontId="60" fillId="9" borderId="0" xfId="0" applyFont="1" applyFill="1"/>
    <xf numFmtId="169" fontId="65" fillId="9" borderId="0" xfId="0" applyFont="1" applyFill="1" applyAlignment="1">
      <alignment horizontal="left" vertical="top"/>
    </xf>
    <xf numFmtId="169" fontId="60" fillId="9" borderId="0" xfId="0" applyFont="1" applyFill="1" applyAlignment="1">
      <alignment horizontal="left" vertical="top" wrapText="1"/>
    </xf>
    <xf numFmtId="169" fontId="65" fillId="0" borderId="0" xfId="0" applyFont="1" applyAlignment="1">
      <alignment horizontal="left" vertical="top" wrapText="1"/>
    </xf>
    <xf numFmtId="173" fontId="60" fillId="0" borderId="0" xfId="0" applyNumberFormat="1" applyFont="1" applyAlignment="1">
      <alignment horizontal="left" vertical="top"/>
    </xf>
    <xf numFmtId="169" fontId="71" fillId="0" borderId="0" xfId="0" applyFont="1" applyAlignment="1">
      <alignment horizontal="left" vertical="top"/>
    </xf>
    <xf numFmtId="169" fontId="62" fillId="0" borderId="0" xfId="0" applyFont="1" applyAlignment="1">
      <alignment horizontal="center" vertical="top"/>
    </xf>
    <xf numFmtId="169" fontId="72" fillId="0" borderId="0" xfId="0" applyFont="1" applyAlignment="1">
      <alignment horizontal="left" vertical="top"/>
    </xf>
    <xf numFmtId="169" fontId="60" fillId="0" borderId="0" xfId="0" applyFont="1" applyAlignment="1">
      <alignment horizontal="left"/>
    </xf>
    <xf numFmtId="175" fontId="60" fillId="0" borderId="0" xfId="0" applyNumberFormat="1" applyFont="1" applyAlignment="1">
      <alignment horizontal="left" vertical="top"/>
    </xf>
    <xf numFmtId="169" fontId="63" fillId="9" borderId="0" xfId="0" applyFont="1" applyFill="1" applyAlignment="1">
      <alignment horizontal="left" vertical="top"/>
    </xf>
    <xf numFmtId="169" fontId="62" fillId="9" borderId="0" xfId="0" applyFont="1" applyFill="1" applyAlignment="1">
      <alignment horizontal="left" vertical="top"/>
    </xf>
    <xf numFmtId="169" fontId="73" fillId="0" borderId="0" xfId="0" applyFont="1" applyAlignment="1">
      <alignment horizontal="left" vertical="top"/>
    </xf>
    <xf numFmtId="169" fontId="74" fillId="0" borderId="0" xfId="0" applyFont="1" applyAlignment="1">
      <alignment horizontal="left" vertical="top"/>
    </xf>
    <xf numFmtId="169" fontId="63" fillId="0" borderId="0" xfId="0" applyFont="1" applyAlignment="1">
      <alignment horizontal="right" vertical="top"/>
    </xf>
    <xf numFmtId="169" fontId="75" fillId="0" borderId="0" xfId="0" applyFont="1" applyAlignment="1">
      <alignment horizontal="left" vertical="top"/>
    </xf>
    <xf numFmtId="174" fontId="70" fillId="0" borderId="0" xfId="0" applyNumberFormat="1" applyFont="1" applyAlignment="1">
      <alignment horizontal="left" vertical="top"/>
    </xf>
    <xf numFmtId="169" fontId="64" fillId="0" borderId="0" xfId="0" applyFont="1" applyAlignment="1">
      <alignment horizontal="right" vertical="top"/>
    </xf>
    <xf numFmtId="169" fontId="65" fillId="0" borderId="0" xfId="0" applyFont="1" applyAlignment="1">
      <alignment vertical="top" wrapText="1"/>
    </xf>
    <xf numFmtId="169" fontId="65" fillId="0" borderId="0" xfId="0" applyFont="1" applyAlignment="1">
      <alignment horizontal="right" vertical="top"/>
    </xf>
    <xf numFmtId="169" fontId="76" fillId="0" borderId="0" xfId="0" applyFont="1" applyAlignment="1">
      <alignment horizontal="right" vertical="top"/>
    </xf>
    <xf numFmtId="169" fontId="74" fillId="0" borderId="0" xfId="0" applyFont="1" applyAlignment="1">
      <alignment horizontal="right" vertical="top"/>
    </xf>
    <xf numFmtId="169" fontId="69" fillId="0" borderId="0" xfId="0" applyFont="1" applyAlignment="1">
      <alignment horizontal="center" vertical="center" wrapText="1"/>
    </xf>
    <xf numFmtId="169" fontId="60" fillId="0" borderId="0" xfId="0" applyFont="1" applyAlignment="1">
      <alignment horizontal="right" vertical="center"/>
    </xf>
    <xf numFmtId="169" fontId="60" fillId="0" borderId="0" xfId="0" applyFont="1" applyAlignment="1">
      <alignment horizontal="left" vertical="center"/>
    </xf>
    <xf numFmtId="169" fontId="64" fillId="0" borderId="0" xfId="0" applyFont="1" applyAlignment="1">
      <alignment horizontal="right" vertical="center"/>
    </xf>
    <xf numFmtId="169" fontId="65" fillId="0" borderId="0" xfId="0" applyFont="1"/>
    <xf numFmtId="169" fontId="77" fillId="9" borderId="0" xfId="0" applyFont="1" applyFill="1" applyAlignment="1">
      <alignment horizontal="left" vertical="top"/>
    </xf>
    <xf numFmtId="174" fontId="60" fillId="0" borderId="0" xfId="0" applyNumberFormat="1" applyFont="1"/>
    <xf numFmtId="169" fontId="78" fillId="0" borderId="0" xfId="0" applyFont="1" applyAlignment="1">
      <alignment horizontal="left" vertical="top" wrapText="1"/>
    </xf>
    <xf numFmtId="169" fontId="62" fillId="0" borderId="0" xfId="0" applyFont="1" applyAlignment="1">
      <alignment horizontal="left" vertical="center"/>
    </xf>
    <xf numFmtId="169" fontId="69" fillId="0" borderId="0" xfId="0" applyFont="1" applyAlignment="1">
      <alignment horizontal="left" vertical="top"/>
    </xf>
    <xf numFmtId="169" fontId="77" fillId="0" borderId="0" xfId="0" applyFont="1" applyAlignment="1">
      <alignment horizontal="left" vertical="top"/>
    </xf>
    <xf numFmtId="169"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6" fontId="79" fillId="0" borderId="0" xfId="0" applyNumberFormat="1" applyFont="1" applyAlignment="1">
      <alignment horizontal="right" vertical="top" wrapText="1"/>
    </xf>
    <xf numFmtId="177"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7"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1" fontId="60" fillId="0" borderId="0" xfId="0" applyNumberFormat="1" applyFont="1"/>
    <xf numFmtId="169" fontId="87" fillId="0" borderId="0" xfId="0" applyFont="1"/>
    <xf numFmtId="169" fontId="60" fillId="0" borderId="0" xfId="0" applyFont="1" applyAlignment="1">
      <alignment horizontal="fill"/>
    </xf>
    <xf numFmtId="169" fontId="88" fillId="0" borderId="0" xfId="0" applyFont="1" applyAlignment="1">
      <alignment horizontal="left"/>
    </xf>
    <xf numFmtId="169" fontId="62" fillId="0" borderId="0" xfId="0" applyFont="1" applyAlignment="1">
      <alignment horizontal="right"/>
    </xf>
    <xf numFmtId="169" fontId="62" fillId="0" borderId="0" xfId="0" quotePrefix="1" applyFont="1" applyAlignment="1">
      <alignment horizontal="center"/>
    </xf>
    <xf numFmtId="169" fontId="64" fillId="0" borderId="0" xfId="0" applyFont="1"/>
    <xf numFmtId="170" fontId="89" fillId="0" borderId="0" xfId="0" applyNumberFormat="1" applyFont="1"/>
    <xf numFmtId="169" fontId="89" fillId="0" borderId="0" xfId="0" applyFont="1"/>
    <xf numFmtId="169" fontId="89" fillId="0" borderId="0" xfId="0" applyFont="1" applyAlignment="1">
      <alignment horizontal="left"/>
    </xf>
    <xf numFmtId="169" fontId="90" fillId="0" borderId="0" xfId="0" applyFont="1"/>
    <xf numFmtId="169" fontId="91" fillId="0" borderId="0" xfId="0" applyFont="1" applyAlignment="1">
      <alignment horizontal="left"/>
    </xf>
    <xf numFmtId="169" fontId="65" fillId="9" borderId="0" xfId="0" applyFont="1" applyFill="1"/>
    <xf numFmtId="170" fontId="60" fillId="0" borderId="0" xfId="0" applyNumberFormat="1" applyFont="1" applyAlignment="1">
      <alignment horizontal="center"/>
    </xf>
    <xf numFmtId="169" fontId="63" fillId="0" borderId="0" xfId="0" applyFont="1"/>
    <xf numFmtId="169" fontId="60" fillId="9" borderId="0" xfId="0" applyFont="1" applyFill="1" applyAlignment="1">
      <alignment horizontal="left"/>
    </xf>
    <xf numFmtId="169" fontId="73" fillId="0" borderId="0" xfId="0" applyFont="1"/>
    <xf numFmtId="169" fontId="64" fillId="0" borderId="0" xfId="0" applyFont="1" applyAlignment="1">
      <alignment horizontal="right"/>
    </xf>
    <xf numFmtId="169" fontId="63" fillId="0" borderId="0" xfId="0" applyFont="1" applyAlignment="1">
      <alignment horizontal="left"/>
    </xf>
    <xf numFmtId="172" fontId="60" fillId="0" borderId="0" xfId="0" applyNumberFormat="1" applyFont="1" applyAlignment="1">
      <alignment horizontal="center"/>
    </xf>
    <xf numFmtId="169" fontId="65" fillId="0" borderId="0" xfId="0" applyFont="1" applyAlignment="1">
      <alignment horizontal="left"/>
    </xf>
    <xf numFmtId="169" fontId="60" fillId="0" borderId="0" xfId="0" quotePrefix="1" applyFont="1"/>
    <xf numFmtId="0" fontId="92" fillId="0" borderId="0" xfId="0" applyNumberFormat="1" applyFont="1" applyAlignment="1">
      <alignment wrapText="1"/>
    </xf>
    <xf numFmtId="170" fontId="89" fillId="9" borderId="0" xfId="0" applyNumberFormat="1" applyFont="1" applyFill="1"/>
    <xf numFmtId="169" fontId="64" fillId="9" borderId="0" xfId="0" applyFont="1" applyFill="1"/>
    <xf numFmtId="171" fontId="60" fillId="9" borderId="0" xfId="0" applyNumberFormat="1" applyFont="1" applyFill="1"/>
    <xf numFmtId="169" fontId="60" fillId="9" borderId="0" xfId="0" applyFont="1" applyFill="1" applyAlignment="1">
      <alignment horizontal="center"/>
    </xf>
    <xf numFmtId="169" fontId="64" fillId="0" borderId="0" xfId="0" applyFont="1" applyAlignment="1">
      <alignment horizontal="center"/>
    </xf>
    <xf numFmtId="171" fontId="60" fillId="0" borderId="0" xfId="0" applyNumberFormat="1" applyFont="1" applyAlignment="1">
      <alignment horizontal="center"/>
    </xf>
    <xf numFmtId="172" fontId="60" fillId="0" borderId="0" xfId="0" applyNumberFormat="1" applyFont="1" applyAlignment="1">
      <alignment horizontal="left"/>
    </xf>
    <xf numFmtId="171" fontId="60" fillId="0" borderId="0" xfId="0" applyNumberFormat="1" applyFont="1" applyAlignment="1">
      <alignment horizontal="left"/>
    </xf>
    <xf numFmtId="169" fontId="93" fillId="0" borderId="0" xfId="0" applyFont="1"/>
    <xf numFmtId="169" fontId="62" fillId="0" borderId="0" xfId="0" applyFont="1" applyAlignment="1">
      <alignment horizontal="fill"/>
    </xf>
    <xf numFmtId="169" fontId="60" fillId="0" borderId="0" xfId="0" applyFont="1" applyAlignment="1">
      <alignment horizontal="left" wrapText="1"/>
    </xf>
    <xf numFmtId="172" fontId="60" fillId="0" borderId="0" xfId="0" applyNumberFormat="1" applyFont="1" applyAlignment="1">
      <alignment horizontal="center" vertical="top"/>
    </xf>
    <xf numFmtId="171" fontId="60" fillId="0" borderId="0" xfId="0" applyNumberFormat="1" applyFont="1" applyAlignment="1">
      <alignment horizontal="center" vertical="top"/>
    </xf>
    <xf numFmtId="169" fontId="94" fillId="0" borderId="0" xfId="0" applyFont="1"/>
    <xf numFmtId="169" fontId="60" fillId="11" borderId="0" xfId="0" applyFont="1" applyFill="1" applyAlignment="1">
      <alignment horizontal="left"/>
    </xf>
    <xf numFmtId="169" fontId="95" fillId="8" borderId="0" xfId="0" applyFont="1" applyFill="1"/>
    <xf numFmtId="169" fontId="64" fillId="8" borderId="0" xfId="0" applyFont="1" applyFill="1"/>
    <xf numFmtId="170" fontId="62" fillId="0" borderId="0" xfId="0" applyNumberFormat="1" applyFont="1" applyAlignment="1">
      <alignment horizontal="center"/>
    </xf>
    <xf numFmtId="172" fontId="89" fillId="0" borderId="0" xfId="0" applyNumberFormat="1" applyFont="1"/>
    <xf numFmtId="169" fontId="96" fillId="0" borderId="0" xfId="0" applyFont="1"/>
    <xf numFmtId="169" fontId="95" fillId="10" borderId="0" xfId="0" applyFont="1" applyFill="1"/>
    <xf numFmtId="173" fontId="60" fillId="0" borderId="0" xfId="0" applyNumberFormat="1" applyFont="1"/>
    <xf numFmtId="169" fontId="65" fillId="9" borderId="0" xfId="0" applyFont="1" applyFill="1" applyAlignment="1">
      <alignment horizontal="left"/>
    </xf>
    <xf numFmtId="169" fontId="97" fillId="0" borderId="0" xfId="0" applyFont="1"/>
    <xf numFmtId="169" fontId="98" fillId="0" borderId="0" xfId="0" applyFont="1" applyAlignment="1">
      <alignment horizontal="left"/>
    </xf>
    <xf numFmtId="169" fontId="98" fillId="0" borderId="0" xfId="0" applyFont="1"/>
    <xf numFmtId="169" fontId="65" fillId="8" borderId="0" xfId="0" applyFont="1" applyFill="1"/>
    <xf numFmtId="169" fontId="60" fillId="8" borderId="0" xfId="0" applyFont="1" applyFill="1" applyAlignment="1">
      <alignment horizontal="left"/>
    </xf>
    <xf numFmtId="169" fontId="60" fillId="0" borderId="0" xfId="0" applyFont="1" applyAlignment="1">
      <alignment horizontal="right"/>
    </xf>
    <xf numFmtId="169" fontId="90" fillId="10" borderId="0" xfId="0" applyFont="1" applyFill="1" applyAlignment="1">
      <alignment horizontal="left"/>
    </xf>
    <xf numFmtId="169" fontId="99" fillId="9" borderId="0" xfId="0" applyFont="1" applyFill="1" applyAlignment="1">
      <alignment horizontal="left"/>
    </xf>
    <xf numFmtId="169" fontId="99" fillId="0" borderId="0" xfId="0" applyFont="1"/>
    <xf numFmtId="169" fontId="99" fillId="0" borderId="0" xfId="0" applyFont="1" applyAlignment="1">
      <alignment horizontal="left"/>
    </xf>
    <xf numFmtId="169" fontId="100" fillId="0" borderId="0" xfId="0" applyFont="1" applyAlignment="1">
      <alignment horizontal="left"/>
    </xf>
    <xf numFmtId="169" fontId="101" fillId="0" borderId="0" xfId="0" applyFont="1"/>
    <xf numFmtId="169" fontId="102" fillId="0" borderId="0" xfId="0" applyFont="1"/>
    <xf numFmtId="169" fontId="93" fillId="9" borderId="0" xfId="0" applyFont="1" applyFill="1"/>
    <xf numFmtId="169" fontId="72" fillId="0" borderId="0" xfId="0" applyFont="1"/>
    <xf numFmtId="170" fontId="60" fillId="0" borderId="0" xfId="0" applyNumberFormat="1" applyFont="1" applyAlignment="1">
      <alignment vertical="center" wrapText="1"/>
    </xf>
    <xf numFmtId="169" fontId="64" fillId="0" borderId="0" xfId="0" applyFont="1" applyAlignment="1">
      <alignment horizontal="left"/>
    </xf>
    <xf numFmtId="169" fontId="75" fillId="0" borderId="0" xfId="0" applyFont="1"/>
    <xf numFmtId="169" fontId="65" fillId="10" borderId="0" xfId="0" applyFont="1" applyFill="1"/>
    <xf numFmtId="169" fontId="89" fillId="10" borderId="0" xfId="0" applyFont="1" applyFill="1" applyAlignment="1">
      <alignment horizontal="left"/>
    </xf>
    <xf numFmtId="169" fontId="60" fillId="10" borderId="0" xfId="0" applyFont="1" applyFill="1"/>
    <xf numFmtId="169" fontId="76" fillId="0" borderId="0" xfId="0" applyFont="1"/>
    <xf numFmtId="170" fontId="99" fillId="0" borderId="0" xfId="0" applyNumberFormat="1" applyFont="1" applyAlignment="1">
      <alignment horizontal="left" wrapText="1"/>
    </xf>
    <xf numFmtId="170" fontId="99" fillId="0" borderId="0" xfId="0" applyNumberFormat="1" applyFont="1" applyAlignment="1">
      <alignment horizontal="left"/>
    </xf>
    <xf numFmtId="169" fontId="104" fillId="0" borderId="0" xfId="0" applyFont="1"/>
    <xf numFmtId="169" fontId="104" fillId="0" borderId="0" xfId="0" applyFont="1" applyAlignment="1">
      <alignment horizontal="left"/>
    </xf>
    <xf numFmtId="169" fontId="105" fillId="0" borderId="0" xfId="0" applyFont="1"/>
    <xf numFmtId="171" fontId="60" fillId="0" borderId="0" xfId="0" applyNumberFormat="1" applyFont="1" applyAlignment="1">
      <alignment horizontal="right"/>
    </xf>
    <xf numFmtId="169" fontId="62" fillId="0" borderId="0" xfId="0" applyFont="1" applyAlignment="1">
      <alignment wrapText="1"/>
    </xf>
    <xf numFmtId="169" fontId="89" fillId="0" borderId="0" xfId="0" applyFont="1" applyAlignment="1">
      <alignment horizontal="center"/>
    </xf>
    <xf numFmtId="169" fontId="99" fillId="10" borderId="0" xfId="0" applyFont="1" applyFill="1"/>
    <xf numFmtId="169" fontId="65" fillId="0" borderId="0" xfId="0" applyFont="1" applyAlignment="1">
      <alignment horizontal="fill"/>
    </xf>
    <xf numFmtId="169" fontId="97" fillId="10" borderId="0" xfId="0" applyFont="1" applyFill="1"/>
    <xf numFmtId="169" fontId="65" fillId="0" borderId="0" xfId="0" applyFont="1" applyAlignment="1">
      <alignment horizontal="right"/>
    </xf>
    <xf numFmtId="169" fontId="106" fillId="0" borderId="0" xfId="0" applyFont="1"/>
    <xf numFmtId="170" fontId="60" fillId="0" borderId="0" xfId="0" applyNumberFormat="1" applyFont="1"/>
    <xf numFmtId="174" fontId="60" fillId="0" borderId="0" xfId="0" quotePrefix="1" applyNumberFormat="1" applyFont="1"/>
    <xf numFmtId="169" fontId="106" fillId="0" borderId="0" xfId="0" applyFont="1" applyAlignment="1">
      <alignment horizontal="left"/>
    </xf>
    <xf numFmtId="169" fontId="77" fillId="10" borderId="0" xfId="0" applyFont="1" applyFill="1"/>
    <xf numFmtId="172" fontId="60" fillId="0" borderId="0" xfId="0" applyNumberFormat="1" applyFont="1" applyAlignment="1">
      <alignment horizontal="center" vertical="top" wrapText="1"/>
    </xf>
    <xf numFmtId="169" fontId="60" fillId="0" borderId="0" xfId="0" applyFont="1" applyAlignment="1">
      <alignment horizontal="justify" vertical="top" wrapText="1"/>
    </xf>
    <xf numFmtId="173" fontId="60" fillId="0" borderId="0" xfId="0" applyNumberFormat="1" applyFont="1" applyAlignment="1">
      <alignment horizontal="left"/>
    </xf>
    <xf numFmtId="175" fontId="107" fillId="4" borderId="0" xfId="0" applyNumberFormat="1" applyFont="1" applyFill="1"/>
    <xf numFmtId="169" fontId="107" fillId="4" borderId="0" xfId="0" applyFont="1" applyFill="1"/>
    <xf numFmtId="169" fontId="107" fillId="4" borderId="0" xfId="0" applyFont="1" applyFill="1" applyAlignment="1">
      <alignment horizontal="left"/>
    </xf>
    <xf numFmtId="175" fontId="60" fillId="0" borderId="0" xfId="0" applyNumberFormat="1" applyFont="1"/>
    <xf numFmtId="173" fontId="60" fillId="0" borderId="0" xfId="0" applyNumberFormat="1" applyFont="1" applyAlignment="1">
      <alignment horizontal="fill"/>
    </xf>
    <xf numFmtId="169" fontId="108" fillId="9" borderId="0" xfId="0" applyFont="1" applyFill="1"/>
    <xf numFmtId="169" fontId="109" fillId="9" borderId="0" xfId="0" applyFont="1" applyFill="1"/>
    <xf numFmtId="169" fontId="109" fillId="9" borderId="0" xfId="0" applyFont="1" applyFill="1" applyAlignment="1">
      <alignment horizontal="left"/>
    </xf>
    <xf numFmtId="171" fontId="107" fillId="4" borderId="0" xfId="0" applyNumberFormat="1" applyFont="1" applyFill="1"/>
    <xf numFmtId="169" fontId="107" fillId="4" borderId="0" xfId="0" applyFont="1" applyFill="1" applyAlignment="1">
      <alignment horizontal="center"/>
    </xf>
    <xf numFmtId="171" fontId="60" fillId="0" borderId="0" xfId="0" applyNumberFormat="1" applyFont="1" applyAlignment="1">
      <alignment horizontal="fill"/>
    </xf>
    <xf numFmtId="169" fontId="110" fillId="10" borderId="0" xfId="0" applyFont="1" applyFill="1"/>
    <xf numFmtId="169" fontId="111" fillId="0" borderId="0" xfId="0" applyFont="1"/>
    <xf numFmtId="169" fontId="65" fillId="11" borderId="0" xfId="0" applyFont="1" applyFill="1" applyAlignment="1">
      <alignment horizontal="left"/>
    </xf>
    <xf numFmtId="2" fontId="80" fillId="0" borderId="2" xfId="41" applyNumberFormat="1" applyFont="1" applyBorder="1" applyAlignment="1">
      <alignment vertical="top" wrapText="1"/>
    </xf>
    <xf numFmtId="169" fontId="112" fillId="10" borderId="0" xfId="0" applyFont="1" applyFill="1"/>
    <xf numFmtId="169" fontId="113" fillId="0" borderId="0" xfId="0" applyFont="1"/>
    <xf numFmtId="169" fontId="69" fillId="0" borderId="0" xfId="0" applyFont="1"/>
    <xf numFmtId="171" fontId="62" fillId="0" borderId="0" xfId="0" applyNumberFormat="1" applyFont="1" applyAlignment="1">
      <alignment horizontal="right"/>
    </xf>
    <xf numFmtId="169" fontId="63" fillId="0" borderId="0" xfId="0" applyFont="1" applyAlignment="1">
      <alignment horizontal="right"/>
    </xf>
    <xf numFmtId="169" fontId="107" fillId="6" borderId="0" xfId="0" applyFont="1" applyFill="1"/>
    <xf numFmtId="169" fontId="74" fillId="0" borderId="0" xfId="0" applyFont="1" applyAlignment="1">
      <alignment horizontal="right"/>
    </xf>
    <xf numFmtId="169" fontId="62" fillId="11" borderId="0" xfId="0" applyFont="1" applyFill="1" applyAlignment="1">
      <alignment horizontal="left"/>
    </xf>
    <xf numFmtId="169" fontId="64" fillId="11" borderId="0" xfId="0" applyFont="1" applyFill="1" applyAlignment="1">
      <alignment horizontal="left"/>
    </xf>
    <xf numFmtId="169" fontId="60" fillId="11" borderId="0" xfId="0" applyFont="1" applyFill="1"/>
    <xf numFmtId="169" fontId="69" fillId="0" borderId="0" xfId="0" applyFont="1" applyAlignment="1">
      <alignment horizontal="center"/>
    </xf>
    <xf numFmtId="169" fontId="60" fillId="0" borderId="6" xfId="0" applyFont="1" applyBorder="1"/>
    <xf numFmtId="169" fontId="92" fillId="0" borderId="0" xfId="0" applyFont="1"/>
    <xf numFmtId="169" fontId="115" fillId="0" borderId="0" xfId="0" applyFont="1" applyAlignment="1">
      <alignment horizontal="center"/>
    </xf>
    <xf numFmtId="169" fontId="60" fillId="0" borderId="8" xfId="0" applyFont="1" applyBorder="1"/>
    <xf numFmtId="174" fontId="92" fillId="0" borderId="0" xfId="0" applyNumberFormat="1" applyFont="1"/>
    <xf numFmtId="169" fontId="92" fillId="0" borderId="0" xfId="0" applyFont="1" applyAlignment="1">
      <alignment horizontal="left"/>
    </xf>
    <xf numFmtId="169" fontId="92" fillId="0" borderId="0" xfId="0" applyFont="1" applyAlignment="1">
      <alignment horizontal="center"/>
    </xf>
    <xf numFmtId="169" fontId="115" fillId="0" borderId="0" xfId="0" applyFont="1"/>
    <xf numFmtId="169" fontId="60" fillId="0" borderId="10" xfId="0" applyFont="1" applyBorder="1"/>
    <xf numFmtId="169" fontId="92" fillId="0" borderId="0" xfId="0" applyFont="1" applyAlignment="1">
      <alignment horizontal="right"/>
    </xf>
    <xf numFmtId="169" fontId="92" fillId="0" borderId="0" xfId="0" applyFont="1" applyAlignment="1">
      <alignment horizontal="fill"/>
    </xf>
    <xf numFmtId="170" fontId="116" fillId="0" borderId="4" xfId="0" applyNumberFormat="1" applyFont="1" applyBorder="1" applyAlignment="1">
      <alignment horizontal="center"/>
    </xf>
    <xf numFmtId="169" fontId="60" fillId="0" borderId="5" xfId="0" applyFont="1" applyBorder="1"/>
    <xf numFmtId="169" fontId="60" fillId="0" borderId="5" xfId="0" applyFont="1" applyBorder="1" applyAlignment="1">
      <alignment horizontal="left"/>
    </xf>
    <xf numFmtId="169" fontId="60" fillId="0" borderId="7" xfId="0" applyFont="1" applyBorder="1"/>
    <xf numFmtId="169" fontId="65" fillId="11" borderId="0" xfId="0" applyFont="1" applyFill="1"/>
    <xf numFmtId="169" fontId="60" fillId="0" borderId="9" xfId="0" applyFont="1" applyBorder="1"/>
    <xf numFmtId="169" fontId="60" fillId="0" borderId="3" xfId="0" applyFont="1" applyBorder="1"/>
    <xf numFmtId="169" fontId="60" fillId="0" borderId="3" xfId="0" applyFont="1" applyBorder="1" applyAlignment="1">
      <alignment horizontal="left"/>
    </xf>
    <xf numFmtId="169" fontId="60" fillId="0" borderId="3" xfId="0" applyFont="1" applyBorder="1" applyAlignment="1">
      <alignment horizontal="fill"/>
    </xf>
    <xf numFmtId="169" fontId="116" fillId="0" borderId="4" xfId="0" applyFont="1" applyBorder="1" applyAlignment="1">
      <alignment horizontal="center"/>
    </xf>
    <xf numFmtId="171" fontId="60" fillId="0" borderId="7" xfId="0" applyNumberFormat="1" applyFont="1" applyBorder="1"/>
    <xf numFmtId="171" fontId="60" fillId="0" borderId="9" xfId="0" applyNumberFormat="1" applyFont="1" applyBorder="1"/>
    <xf numFmtId="169" fontId="62" fillId="0" borderId="3" xfId="0" applyFont="1" applyBorder="1" applyAlignment="1">
      <alignment horizontal="center"/>
    </xf>
    <xf numFmtId="169" fontId="62" fillId="0" borderId="3" xfId="0" applyFont="1" applyBorder="1"/>
    <xf numFmtId="169" fontId="62" fillId="0" borderId="3" xfId="0" applyFont="1" applyBorder="1" applyAlignment="1">
      <alignment horizontal="left"/>
    </xf>
    <xf numFmtId="169" fontId="111" fillId="0" borderId="0" xfId="0" applyFont="1" applyAlignment="1">
      <alignment horizontal="left"/>
    </xf>
    <xf numFmtId="169" fontId="117" fillId="0" borderId="0" xfId="0" applyFont="1"/>
    <xf numFmtId="169" fontId="117" fillId="0" borderId="0" xfId="0" applyFont="1" applyAlignment="1">
      <alignment horizontal="left"/>
    </xf>
    <xf numFmtId="172" fontId="60" fillId="0" borderId="0" xfId="0" applyNumberFormat="1" applyFont="1"/>
    <xf numFmtId="169" fontId="60" fillId="0" borderId="0" xfId="0" applyFont="1" applyAlignment="1">
      <alignment vertical="center"/>
    </xf>
    <xf numFmtId="169" fontId="64" fillId="0" borderId="0" xfId="0" applyFont="1" applyAlignment="1">
      <alignment vertical="center"/>
    </xf>
    <xf numFmtId="169" fontId="70" fillId="11" borderId="0" xfId="0" applyFont="1" applyFill="1"/>
    <xf numFmtId="169" fontId="70" fillId="9" borderId="0" xfId="0" applyFont="1" applyFill="1"/>
    <xf numFmtId="169" fontId="97" fillId="10" borderId="0" xfId="0" applyFont="1" applyFill="1" applyAlignment="1">
      <alignment vertical="center"/>
    </xf>
    <xf numFmtId="169" fontId="97" fillId="10" borderId="0" xfId="0" applyFont="1" applyFill="1" applyAlignment="1">
      <alignment horizontal="left"/>
    </xf>
    <xf numFmtId="169" fontId="64" fillId="10" borderId="0" xfId="0" applyFont="1" applyFill="1" applyAlignment="1">
      <alignment horizontal="left"/>
    </xf>
    <xf numFmtId="169" fontId="112" fillId="0" borderId="0" xfId="0" applyFont="1"/>
    <xf numFmtId="169" fontId="118" fillId="0" borderId="0" xfId="0" applyFont="1"/>
    <xf numFmtId="169" fontId="62" fillId="0" borderId="11" xfId="0" applyFont="1" applyBorder="1"/>
    <xf numFmtId="169" fontId="60" fillId="0" borderId="12" xfId="0" applyFont="1" applyBorder="1" applyAlignment="1">
      <alignment horizontal="fill"/>
    </xf>
    <xf numFmtId="172" fontId="119" fillId="0" borderId="0" xfId="0" applyNumberFormat="1" applyFont="1" applyAlignment="1">
      <alignment horizontal="center"/>
    </xf>
    <xf numFmtId="169" fontId="119" fillId="0" borderId="0" xfId="0" applyFont="1"/>
    <xf numFmtId="169" fontId="119" fillId="0" borderId="0" xfId="0" applyFont="1" applyAlignment="1">
      <alignment horizontal="left"/>
    </xf>
    <xf numFmtId="169" fontId="119" fillId="0" borderId="0" xfId="0" applyFont="1" applyAlignment="1">
      <alignment horizontal="fill"/>
    </xf>
    <xf numFmtId="169" fontId="69" fillId="0" borderId="0" xfId="0" applyFont="1" applyAlignment="1">
      <alignment horizontal="left"/>
    </xf>
    <xf numFmtId="171" fontId="119" fillId="0" borderId="0" xfId="0" applyNumberFormat="1" applyFont="1"/>
    <xf numFmtId="171" fontId="69" fillId="0" borderId="0" xfId="0" applyNumberFormat="1" applyFont="1"/>
    <xf numFmtId="173" fontId="119" fillId="0" borderId="0" xfId="0" applyNumberFormat="1" applyFont="1" applyAlignment="1">
      <alignment horizontal="left"/>
    </xf>
    <xf numFmtId="175" fontId="119" fillId="0" borderId="0" xfId="0" applyNumberFormat="1" applyFont="1"/>
    <xf numFmtId="169" fontId="119" fillId="0" borderId="0" xfId="0" applyFont="1" applyAlignment="1">
      <alignment horizontal="center"/>
    </xf>
    <xf numFmtId="171" fontId="60" fillId="0" borderId="0" xfId="0" applyNumberFormat="1" applyFont="1" applyAlignment="1">
      <alignment wrapText="1"/>
    </xf>
    <xf numFmtId="169" fontId="60" fillId="0" borderId="0" xfId="0" applyFont="1" applyAlignment="1">
      <alignment horizontal="fill" wrapText="1"/>
    </xf>
    <xf numFmtId="169" fontId="97" fillId="11" borderId="0" xfId="0" applyFont="1" applyFill="1"/>
    <xf numFmtId="169" fontId="76" fillId="10" borderId="0" xfId="0" applyFont="1" applyFill="1"/>
    <xf numFmtId="169" fontId="73" fillId="0" borderId="0" xfId="0" applyFont="1" applyAlignment="1">
      <alignment horizontal="right" vertical="center"/>
    </xf>
    <xf numFmtId="2" fontId="92" fillId="0" borderId="2" xfId="40" applyNumberFormat="1" applyFont="1" applyBorder="1" applyAlignment="1">
      <alignment vertical="top" wrapText="1"/>
    </xf>
    <xf numFmtId="169" fontId="64" fillId="10" borderId="0" xfId="0" applyFont="1" applyFill="1"/>
    <xf numFmtId="169" fontId="62" fillId="0" borderId="0" xfId="0" applyFont="1" applyAlignment="1">
      <alignment vertical="top" wrapText="1"/>
    </xf>
    <xf numFmtId="169" fontId="62" fillId="11" borderId="0" xfId="0" applyFont="1" applyFill="1" applyAlignment="1">
      <alignment wrapText="1"/>
    </xf>
    <xf numFmtId="171" fontId="63" fillId="0" borderId="0" xfId="0" applyNumberFormat="1" applyFont="1"/>
    <xf numFmtId="169" fontId="60" fillId="10" borderId="0" xfId="0" quotePrefix="1" applyFont="1" applyFill="1"/>
    <xf numFmtId="169" fontId="60" fillId="10" borderId="0" xfId="0" applyFont="1" applyFill="1" applyAlignment="1">
      <alignment wrapText="1"/>
    </xf>
    <xf numFmtId="169" fontId="60" fillId="0" borderId="0" xfId="0" quotePrefix="1" applyFont="1" applyAlignment="1">
      <alignment horizontal="fill"/>
    </xf>
    <xf numFmtId="169" fontId="60" fillId="10" borderId="0" xfId="0" applyFont="1" applyFill="1" applyAlignment="1">
      <alignment horizontal="left"/>
    </xf>
    <xf numFmtId="169" fontId="62" fillId="0" borderId="0" xfId="0" quotePrefix="1" applyFont="1"/>
    <xf numFmtId="172" fontId="62" fillId="0" borderId="0" xfId="0" applyNumberFormat="1" applyFont="1"/>
    <xf numFmtId="174" fontId="62" fillId="0" borderId="0" xfId="0" applyNumberFormat="1" applyFont="1"/>
    <xf numFmtId="174" fontId="62" fillId="0" borderId="0" xfId="0" applyNumberFormat="1" applyFont="1" applyAlignment="1">
      <alignment horizontal="right"/>
    </xf>
    <xf numFmtId="172" fontId="91" fillId="0" borderId="0" xfId="0" applyNumberFormat="1" applyFont="1" applyAlignment="1">
      <alignment horizontal="center"/>
    </xf>
    <xf numFmtId="169" fontId="91" fillId="0" borderId="0" xfId="0" applyFont="1"/>
    <xf numFmtId="169" fontId="91" fillId="0" borderId="0" xfId="0" applyFont="1" applyAlignment="1">
      <alignment horizontal="fill"/>
    </xf>
    <xf numFmtId="169" fontId="77" fillId="8" borderId="0" xfId="0" applyFont="1" applyFill="1"/>
    <xf numFmtId="173" fontId="91" fillId="0" borderId="0" xfId="0" applyNumberFormat="1" applyFont="1"/>
    <xf numFmtId="173" fontId="91" fillId="0" borderId="0" xfId="0" applyNumberFormat="1" applyFont="1" applyAlignment="1">
      <alignment horizontal="left"/>
    </xf>
    <xf numFmtId="175" fontId="91" fillId="0" borderId="0" xfId="0" applyNumberFormat="1" applyFont="1"/>
    <xf numFmtId="169" fontId="120" fillId="10" borderId="0" xfId="0" applyFont="1" applyFill="1"/>
    <xf numFmtId="169" fontId="91" fillId="10" borderId="0" xfId="0" applyFont="1" applyFill="1" applyAlignment="1">
      <alignment horizontal="left"/>
    </xf>
    <xf numFmtId="169" fontId="91" fillId="0" borderId="0" xfId="0" applyFont="1" applyAlignment="1">
      <alignment horizontal="center"/>
    </xf>
    <xf numFmtId="169" fontId="73" fillId="11" borderId="0" xfId="0" applyFont="1" applyFill="1"/>
    <xf numFmtId="169" fontId="88" fillId="0" borderId="0" xfId="0" applyFont="1"/>
    <xf numFmtId="169" fontId="88" fillId="0" borderId="0" xfId="0" applyFont="1" applyAlignment="1">
      <alignment horizontal="fill"/>
    </xf>
    <xf numFmtId="169" fontId="88" fillId="0" borderId="0" xfId="0" applyFont="1" applyAlignment="1">
      <alignment horizontal="center"/>
    </xf>
    <xf numFmtId="2" fontId="60" fillId="0" borderId="0" xfId="0" applyNumberFormat="1" applyFont="1"/>
    <xf numFmtId="169" fontId="80" fillId="0" borderId="0" xfId="0" applyFont="1" applyAlignment="1">
      <alignment horizontal="right"/>
    </xf>
    <xf numFmtId="2" fontId="62" fillId="0" borderId="0" xfId="0" applyNumberFormat="1" applyFont="1"/>
    <xf numFmtId="169" fontId="60" fillId="0" borderId="4" xfId="0" applyFont="1" applyBorder="1"/>
    <xf numFmtId="172" fontId="60" fillId="0" borderId="7" xfId="0" applyNumberFormat="1" applyFont="1" applyBorder="1" applyAlignment="1">
      <alignment horizontal="center"/>
    </xf>
    <xf numFmtId="169" fontId="65" fillId="7" borderId="0" xfId="0" applyFont="1" applyFill="1"/>
    <xf numFmtId="173" fontId="60" fillId="0" borderId="0" xfId="0" applyNumberFormat="1" applyFont="1" applyAlignment="1">
      <alignment horizontal="center"/>
    </xf>
    <xf numFmtId="169" fontId="60" fillId="0" borderId="3" xfId="0" applyFont="1" applyBorder="1" applyAlignment="1">
      <alignment horizontal="center"/>
    </xf>
    <xf numFmtId="169" fontId="119" fillId="0" borderId="3" xfId="0" applyFont="1" applyBorder="1" applyAlignment="1">
      <alignment horizontal="fill"/>
    </xf>
    <xf numFmtId="179" fontId="62" fillId="0" borderId="0" xfId="0" applyNumberFormat="1" applyFont="1"/>
    <xf numFmtId="173" fontId="62" fillId="0" borderId="0" xfId="0" applyNumberFormat="1" applyFont="1"/>
    <xf numFmtId="169" fontId="60" fillId="10" borderId="0" xfId="0" applyFont="1" applyFill="1" applyAlignment="1">
      <alignment horizontal="left" wrapText="1"/>
    </xf>
    <xf numFmtId="169" fontId="76" fillId="11" borderId="0" xfId="0" applyFont="1" applyFill="1"/>
    <xf numFmtId="169" fontId="121" fillId="0" borderId="0" xfId="0" applyFont="1" applyAlignment="1">
      <alignment horizontal="left"/>
    </xf>
    <xf numFmtId="169" fontId="118" fillId="0" borderId="0" xfId="0" applyFont="1" applyAlignment="1">
      <alignment horizontal="left"/>
    </xf>
    <xf numFmtId="173" fontId="118" fillId="0" borderId="0" xfId="0" applyNumberFormat="1" applyFont="1"/>
    <xf numFmtId="169" fontId="118" fillId="0" borderId="0" xfId="0" applyFont="1" applyAlignment="1">
      <alignment horizontal="center"/>
    </xf>
    <xf numFmtId="169" fontId="122" fillId="10" borderId="0" xfId="0" applyFont="1" applyFill="1"/>
    <xf numFmtId="173" fontId="118" fillId="0" borderId="0" xfId="0" applyNumberFormat="1" applyFont="1" applyAlignment="1">
      <alignment horizontal="left"/>
    </xf>
    <xf numFmtId="173" fontId="118" fillId="0" borderId="0" xfId="0" applyNumberFormat="1" applyFont="1" applyAlignment="1">
      <alignment horizontal="center"/>
    </xf>
    <xf numFmtId="169" fontId="123" fillId="0" borderId="0" xfId="0" applyFont="1"/>
    <xf numFmtId="169" fontId="124" fillId="0" borderId="0" xfId="0" applyFont="1"/>
    <xf numFmtId="169" fontId="91" fillId="0" borderId="0" xfId="0" applyFont="1" applyAlignment="1">
      <alignment horizontal="right"/>
    </xf>
    <xf numFmtId="169" fontId="125" fillId="0" borderId="0" xfId="0" applyFont="1"/>
    <xf numFmtId="169" fontId="126" fillId="0" borderId="0" xfId="0" applyFont="1"/>
    <xf numFmtId="173" fontId="60" fillId="0" borderId="0" xfId="0" applyNumberFormat="1" applyFont="1" applyAlignment="1">
      <alignment horizontal="right"/>
    </xf>
    <xf numFmtId="173" fontId="62" fillId="0" borderId="0" xfId="0" applyNumberFormat="1" applyFont="1" applyAlignment="1">
      <alignment horizontal="right"/>
    </xf>
    <xf numFmtId="174" fontId="60" fillId="0" borderId="0" xfId="0" applyNumberFormat="1" applyFont="1" applyAlignment="1">
      <alignment horizontal="right"/>
    </xf>
    <xf numFmtId="169" fontId="60" fillId="0" borderId="0" xfId="0" quotePrefix="1" applyFont="1" applyAlignment="1">
      <alignment horizontal="left"/>
    </xf>
    <xf numFmtId="175" fontId="60" fillId="0" borderId="0" xfId="0" applyNumberFormat="1" applyFont="1" applyAlignment="1">
      <alignment horizontal="right"/>
    </xf>
    <xf numFmtId="171" fontId="62" fillId="0" borderId="0" xfId="0" applyNumberFormat="1" applyFont="1"/>
    <xf numFmtId="169" fontId="111" fillId="10" borderId="0" xfId="0" applyFont="1" applyFill="1"/>
    <xf numFmtId="169" fontId="90" fillId="10" borderId="0" xfId="0" applyFont="1" applyFill="1"/>
    <xf numFmtId="173" fontId="62" fillId="0" borderId="0" xfId="0" applyNumberFormat="1" applyFont="1" applyAlignment="1">
      <alignment vertical="top"/>
    </xf>
    <xf numFmtId="169" fontId="62" fillId="10" borderId="0" xfId="0" applyFont="1" applyFill="1" applyAlignment="1">
      <alignment vertical="top" wrapText="1"/>
    </xf>
    <xf numFmtId="169" fontId="90" fillId="0" borderId="0" xfId="0" applyFont="1" applyAlignment="1">
      <alignment vertical="top"/>
    </xf>
    <xf numFmtId="169" fontId="62" fillId="10" borderId="0" xfId="0" applyFont="1" applyFill="1"/>
    <xf numFmtId="169" fontId="127" fillId="0" borderId="0" xfId="0" applyFont="1"/>
    <xf numFmtId="169" fontId="111" fillId="0" borderId="0" xfId="0" applyFont="1" applyAlignment="1">
      <alignment horizontal="right"/>
    </xf>
    <xf numFmtId="169" fontId="128" fillId="11" borderId="0" xfId="0" applyFont="1" applyFill="1" applyAlignment="1">
      <alignment horizontal="right"/>
    </xf>
    <xf numFmtId="169" fontId="128" fillId="0" borderId="0" xfId="0" applyFont="1" applyAlignment="1">
      <alignment horizontal="right"/>
    </xf>
    <xf numFmtId="170" fontId="62" fillId="0" borderId="0" xfId="0" applyNumberFormat="1" applyFont="1" applyAlignment="1">
      <alignment vertical="center"/>
    </xf>
    <xf numFmtId="2" fontId="92" fillId="0" borderId="0" xfId="40" applyNumberFormat="1" applyFont="1" applyAlignment="1">
      <alignment vertical="top" wrapText="1"/>
    </xf>
    <xf numFmtId="169" fontId="76" fillId="5" borderId="0" xfId="0" applyFont="1" applyFill="1"/>
    <xf numFmtId="169" fontId="130" fillId="0" borderId="0" xfId="0" applyFont="1"/>
    <xf numFmtId="169" fontId="131" fillId="0" borderId="0" xfId="0" applyFont="1"/>
    <xf numFmtId="171" fontId="131" fillId="0" borderId="0" xfId="0" applyNumberFormat="1" applyFont="1"/>
    <xf numFmtId="169" fontId="131" fillId="0" borderId="0" xfId="0" applyFont="1" applyAlignment="1">
      <alignment horizontal="center"/>
    </xf>
    <xf numFmtId="169" fontId="132" fillId="10" borderId="0" xfId="0" applyFont="1" applyFill="1"/>
    <xf numFmtId="169" fontId="97" fillId="0" borderId="0" xfId="0" applyFont="1" applyAlignment="1">
      <alignment vertical="center"/>
    </xf>
    <xf numFmtId="169" fontId="68" fillId="0" borderId="0" xfId="0" applyFont="1"/>
    <xf numFmtId="169" fontId="62" fillId="0" borderId="0" xfId="0" applyFont="1" applyAlignment="1">
      <alignment horizontal="center" vertical="top" wrapText="1"/>
    </xf>
    <xf numFmtId="169" fontId="64" fillId="0" borderId="0" xfId="0" applyFont="1" applyAlignment="1">
      <alignment vertical="top"/>
    </xf>
    <xf numFmtId="169" fontId="133" fillId="0" borderId="0" xfId="0" applyFont="1"/>
    <xf numFmtId="169" fontId="92" fillId="0" borderId="0" xfId="0" applyFont="1" applyAlignment="1">
      <alignment horizontal="left" wrapText="1"/>
    </xf>
    <xf numFmtId="169" fontId="134" fillId="0" borderId="0" xfId="0" applyFont="1"/>
    <xf numFmtId="174" fontId="92" fillId="0" borderId="0" xfId="0" applyNumberFormat="1" applyFont="1" applyAlignment="1">
      <alignment horizontal="right"/>
    </xf>
    <xf numFmtId="169" fontId="62" fillId="0" borderId="0" xfId="0" applyFont="1" applyAlignment="1">
      <alignment horizontal="center" wrapText="1"/>
    </xf>
    <xf numFmtId="169" fontId="135" fillId="0" borderId="0" xfId="0" applyFont="1"/>
    <xf numFmtId="169" fontId="136" fillId="0" borderId="0" xfId="0" applyFont="1"/>
    <xf numFmtId="169" fontId="137" fillId="0" borderId="0" xfId="0" applyFont="1"/>
    <xf numFmtId="0" fontId="60" fillId="0" borderId="0" xfId="0" applyNumberFormat="1" applyFont="1"/>
    <xf numFmtId="0" fontId="60" fillId="0" borderId="0" xfId="0" applyNumberFormat="1" applyFont="1" applyAlignment="1">
      <alignment horizontal="center"/>
    </xf>
    <xf numFmtId="174" fontId="133" fillId="9" borderId="0" xfId="0" applyNumberFormat="1" applyFont="1" applyFill="1"/>
    <xf numFmtId="0" fontId="138" fillId="7" borderId="0" xfId="0" applyNumberFormat="1" applyFont="1" applyFill="1" applyAlignment="1">
      <alignment vertical="top" wrapText="1"/>
    </xf>
    <xf numFmtId="0" fontId="138" fillId="7" borderId="0" xfId="0" applyNumberFormat="1" applyFont="1" applyFill="1" applyAlignment="1">
      <alignment horizontal="center" wrapText="1"/>
    </xf>
    <xf numFmtId="0" fontId="140" fillId="0" borderId="0" xfId="0" applyNumberFormat="1" applyFont="1"/>
    <xf numFmtId="2" fontId="140" fillId="0" borderId="0" xfId="0" applyNumberFormat="1" applyFont="1"/>
    <xf numFmtId="2" fontId="142" fillId="0" borderId="0" xfId="0" applyNumberFormat="1" applyFont="1"/>
    <xf numFmtId="169" fontId="118" fillId="0" borderId="0" xfId="0" applyFont="1" applyAlignment="1">
      <alignment vertical="center"/>
    </xf>
    <xf numFmtId="0" fontId="60" fillId="0" borderId="0" xfId="0" applyNumberFormat="1" applyFont="1" applyAlignment="1">
      <alignment vertical="center"/>
    </xf>
    <xf numFmtId="169" fontId="118" fillId="0" borderId="0" xfId="0" applyFont="1" applyAlignment="1">
      <alignment horizontal="left" vertical="center"/>
    </xf>
    <xf numFmtId="169" fontId="65" fillId="0" borderId="0" xfId="0" applyFont="1" applyAlignment="1">
      <alignment vertical="center"/>
    </xf>
    <xf numFmtId="0" fontId="60" fillId="0" borderId="0" xfId="0" applyNumberFormat="1" applyFont="1" applyAlignment="1">
      <alignment wrapText="1"/>
    </xf>
    <xf numFmtId="0" fontId="140" fillId="0" borderId="0" xfId="0" applyNumberFormat="1" applyFont="1" applyAlignment="1">
      <alignment horizontal="right"/>
    </xf>
    <xf numFmtId="0" fontId="143" fillId="0" borderId="0" xfId="0" applyNumberFormat="1" applyFont="1"/>
    <xf numFmtId="169" fontId="124" fillId="0" borderId="0" xfId="0" applyFont="1" applyAlignment="1">
      <alignment horizontal="left"/>
    </xf>
    <xf numFmtId="169" fontId="144" fillId="0" borderId="0" xfId="0" applyFont="1"/>
    <xf numFmtId="169" fontId="145" fillId="0" borderId="0" xfId="0" applyFont="1"/>
    <xf numFmtId="169" fontId="64" fillId="0" borderId="0" xfId="0" applyFont="1" applyAlignment="1">
      <alignment vertical="top" wrapText="1"/>
    </xf>
    <xf numFmtId="171" fontId="118" fillId="0" borderId="0" xfId="0" applyNumberFormat="1" applyFont="1"/>
    <xf numFmtId="169" fontId="118" fillId="0" borderId="0" xfId="0" applyFont="1" applyAlignment="1">
      <alignment horizontal="right"/>
    </xf>
    <xf numFmtId="169" fontId="140" fillId="0" borderId="0" xfId="0" applyFont="1"/>
    <xf numFmtId="169" fontId="140" fillId="0" borderId="0" xfId="0" applyFont="1" applyAlignment="1">
      <alignment horizontal="left"/>
    </xf>
    <xf numFmtId="0" fontId="140" fillId="0" borderId="0" xfId="0" applyNumberFormat="1" applyFont="1" applyAlignment="1">
      <alignment horizontal="center"/>
    </xf>
    <xf numFmtId="169" fontId="133" fillId="9" borderId="0" xfId="0" applyFont="1" applyFill="1"/>
    <xf numFmtId="169" fontId="133" fillId="9" borderId="0" xfId="0" applyFont="1" applyFill="1" applyAlignment="1">
      <alignment horizontal="left"/>
    </xf>
    <xf numFmtId="169" fontId="146" fillId="9" borderId="0" xfId="0" applyFont="1" applyFill="1"/>
    <xf numFmtId="169" fontId="133" fillId="9" borderId="0" xfId="0" applyFont="1" applyFill="1" applyAlignment="1">
      <alignment horizontal="right"/>
    </xf>
    <xf numFmtId="169" fontId="70" fillId="0" borderId="0" xfId="0" applyFont="1"/>
    <xf numFmtId="174" fontId="140" fillId="0" borderId="0" xfId="0" applyNumberFormat="1" applyFont="1" applyAlignment="1">
      <alignment vertical="top"/>
    </xf>
    <xf numFmtId="174" fontId="75" fillId="0" borderId="0" xfId="0" applyNumberFormat="1" applyFont="1" applyAlignment="1">
      <alignment horizontal="right"/>
    </xf>
    <xf numFmtId="174" fontId="60" fillId="0" borderId="0" xfId="0" applyNumberFormat="1" applyFont="1" applyAlignment="1">
      <alignment horizontal="center"/>
    </xf>
    <xf numFmtId="169" fontId="147" fillId="8" borderId="0" xfId="0" applyFont="1" applyFill="1" applyAlignment="1">
      <alignment vertical="top"/>
    </xf>
    <xf numFmtId="169" fontId="137" fillId="8" borderId="1" xfId="0" applyFont="1" applyFill="1" applyBorder="1" applyAlignment="1">
      <alignment horizontal="center" vertical="top" wrapText="1"/>
    </xf>
    <xf numFmtId="169" fontId="147" fillId="8" borderId="0" xfId="0" applyFont="1" applyFill="1" applyAlignment="1">
      <alignment horizontal="center" vertical="top"/>
    </xf>
    <xf numFmtId="176" fontId="147" fillId="8" borderId="1" xfId="40" applyNumberFormat="1" applyFont="1" applyFill="1" applyBorder="1" applyAlignment="1">
      <alignment vertical="top" wrapText="1"/>
    </xf>
    <xf numFmtId="2" fontId="147" fillId="8" borderId="1" xfId="40" applyNumberFormat="1" applyFont="1" applyFill="1" applyBorder="1" applyAlignment="1">
      <alignment vertical="top" wrapText="1"/>
    </xf>
    <xf numFmtId="9" fontId="147" fillId="8" borderId="1" xfId="44" applyFont="1" applyFill="1" applyBorder="1" applyAlignment="1">
      <alignment horizontal="right" vertical="top" wrapText="1"/>
    </xf>
    <xf numFmtId="2" fontId="147" fillId="8" borderId="1" xfId="40" applyNumberFormat="1" applyFont="1" applyFill="1" applyBorder="1" applyAlignment="1">
      <alignment horizontal="center" vertical="top" wrapText="1"/>
    </xf>
    <xf numFmtId="169" fontId="149" fillId="8" borderId="1" xfId="0" applyFont="1" applyFill="1" applyBorder="1" applyAlignment="1">
      <alignment horizontal="right" vertical="top" wrapText="1"/>
    </xf>
    <xf numFmtId="169" fontId="147" fillId="8" borderId="1" xfId="0" applyFont="1" applyFill="1" applyBorder="1" applyAlignment="1">
      <alignment horizontal="right" vertical="top" wrapText="1"/>
    </xf>
    <xf numFmtId="169" fontId="149" fillId="0" borderId="1" xfId="0" applyFont="1" applyBorder="1" applyAlignment="1">
      <alignment vertical="center" wrapText="1"/>
    </xf>
    <xf numFmtId="176" fontId="147" fillId="0" borderId="1" xfId="40" applyNumberFormat="1" applyFont="1" applyBorder="1" applyAlignment="1">
      <alignment vertical="top" wrapText="1"/>
    </xf>
    <xf numFmtId="2" fontId="147" fillId="0" borderId="1" xfId="40" applyNumberFormat="1" applyFont="1" applyBorder="1" applyAlignment="1">
      <alignment vertical="top" wrapText="1"/>
    </xf>
    <xf numFmtId="169" fontId="147" fillId="0" borderId="1" xfId="0" applyFont="1" applyBorder="1" applyAlignment="1">
      <alignment horizontal="right" vertical="top" wrapText="1"/>
    </xf>
    <xf numFmtId="2" fontId="147" fillId="0" borderId="1" xfId="40" applyNumberFormat="1" applyFont="1" applyBorder="1" applyAlignment="1">
      <alignment horizontal="center" vertical="top" wrapText="1"/>
    </xf>
    <xf numFmtId="169" fontId="147" fillId="0" borderId="0" xfId="0" applyFont="1" applyAlignment="1">
      <alignment vertical="top"/>
    </xf>
    <xf numFmtId="169" fontId="147" fillId="8" borderId="1" xfId="0" applyFont="1" applyFill="1" applyBorder="1" applyAlignment="1">
      <alignment vertical="top" wrapText="1"/>
    </xf>
    <xf numFmtId="169" fontId="147" fillId="0" borderId="1" xfId="0" applyFont="1" applyBorder="1" applyAlignment="1">
      <alignment vertical="top" wrapText="1"/>
    </xf>
    <xf numFmtId="169" fontId="147" fillId="8" borderId="2" xfId="0" applyFont="1" applyFill="1" applyBorder="1" applyAlignment="1">
      <alignment vertical="top"/>
    </xf>
    <xf numFmtId="2" fontId="137" fillId="8" borderId="1" xfId="40" applyNumberFormat="1" applyFont="1" applyFill="1" applyBorder="1" applyAlignment="1">
      <alignment vertical="top" wrapText="1"/>
    </xf>
    <xf numFmtId="2" fontId="137" fillId="0" borderId="1" xfId="40" applyNumberFormat="1" applyFont="1" applyBorder="1" applyAlignment="1">
      <alignment vertical="top" wrapText="1"/>
    </xf>
    <xf numFmtId="176" fontId="147" fillId="8" borderId="1" xfId="0" applyNumberFormat="1" applyFont="1" applyFill="1" applyBorder="1" applyAlignment="1">
      <alignment vertical="top" wrapText="1"/>
    </xf>
    <xf numFmtId="176" fontId="147" fillId="8" borderId="1" xfId="0" applyNumberFormat="1" applyFont="1" applyFill="1" applyBorder="1" applyAlignment="1">
      <alignment vertical="top"/>
    </xf>
    <xf numFmtId="176" fontId="147" fillId="0" borderId="1" xfId="0" applyNumberFormat="1" applyFont="1" applyBorder="1" applyAlignment="1">
      <alignment vertical="top" wrapText="1"/>
    </xf>
    <xf numFmtId="169" fontId="147" fillId="8" borderId="1" xfId="0" applyFont="1" applyFill="1" applyBorder="1" applyAlignment="1">
      <alignment vertical="top"/>
    </xf>
    <xf numFmtId="172" fontId="147" fillId="0" borderId="1" xfId="40" applyNumberFormat="1" applyFont="1" applyBorder="1" applyAlignment="1">
      <alignment vertical="top" wrapText="1"/>
    </xf>
    <xf numFmtId="172" fontId="147" fillId="8" borderId="1" xfId="0" applyNumberFormat="1" applyFont="1" applyFill="1" applyBorder="1" applyAlignment="1">
      <alignment vertical="top"/>
    </xf>
    <xf numFmtId="172" fontId="147" fillId="8" borderId="1" xfId="40" applyNumberFormat="1" applyFont="1" applyFill="1" applyBorder="1" applyAlignment="1">
      <alignment vertical="top" wrapText="1"/>
    </xf>
    <xf numFmtId="2" fontId="137" fillId="8" borderId="1" xfId="40" applyNumberFormat="1" applyFont="1" applyFill="1" applyBorder="1" applyAlignment="1">
      <alignment horizontal="center" vertical="top" wrapText="1"/>
    </xf>
    <xf numFmtId="169" fontId="147" fillId="0" borderId="2" xfId="0" applyFont="1" applyBorder="1" applyAlignment="1">
      <alignment vertical="top"/>
    </xf>
    <xf numFmtId="176" fontId="149" fillId="8" borderId="1" xfId="40" applyNumberFormat="1" applyFont="1" applyFill="1" applyBorder="1" applyAlignment="1">
      <alignment vertical="top" wrapText="1"/>
    </xf>
    <xf numFmtId="2" fontId="149" fillId="8" borderId="1" xfId="40" applyNumberFormat="1" applyFont="1" applyFill="1" applyBorder="1" applyAlignment="1">
      <alignment vertical="top" wrapText="1"/>
    </xf>
    <xf numFmtId="2" fontId="149" fillId="8" borderId="1" xfId="40" applyNumberFormat="1" applyFont="1" applyFill="1" applyBorder="1" applyAlignment="1">
      <alignment horizontal="center" vertical="top" wrapText="1"/>
    </xf>
    <xf numFmtId="169" fontId="150" fillId="8" borderId="2" xfId="0" applyFont="1" applyFill="1" applyBorder="1" applyAlignment="1">
      <alignment vertical="top"/>
    </xf>
    <xf numFmtId="169" fontId="149" fillId="8" borderId="1" xfId="0" applyFont="1" applyFill="1" applyBorder="1" applyAlignment="1">
      <alignment vertical="top" wrapText="1"/>
    </xf>
    <xf numFmtId="2" fontId="149" fillId="8" borderId="1" xfId="40" applyNumberFormat="1" applyFont="1" applyFill="1" applyBorder="1" applyAlignment="1">
      <alignment horizontal="right" vertical="top" wrapText="1"/>
    </xf>
    <xf numFmtId="2" fontId="148" fillId="8" borderId="1" xfId="40" applyNumberFormat="1" applyFont="1" applyFill="1" applyBorder="1" applyAlignment="1">
      <alignment vertical="top" wrapText="1"/>
    </xf>
    <xf numFmtId="2" fontId="147" fillId="8" borderId="1" xfId="40" applyNumberFormat="1" applyFont="1" applyFill="1" applyBorder="1" applyAlignment="1">
      <alignment horizontal="right" vertical="top" wrapText="1"/>
    </xf>
    <xf numFmtId="2" fontId="149" fillId="0" borderId="1" xfId="40" applyNumberFormat="1" applyFont="1" applyBorder="1" applyAlignment="1">
      <alignment vertical="top" wrapText="1"/>
    </xf>
    <xf numFmtId="169" fontId="149" fillId="0" borderId="1" xfId="0" applyFont="1" applyBorder="1" applyAlignment="1">
      <alignment horizontal="right" vertical="top" wrapText="1"/>
    </xf>
    <xf numFmtId="1" fontId="147" fillId="8" borderId="1" xfId="40" applyNumberFormat="1" applyFont="1" applyFill="1" applyBorder="1" applyAlignment="1">
      <alignment vertical="top" wrapText="1"/>
    </xf>
    <xf numFmtId="176" fontId="147" fillId="8" borderId="1" xfId="40" applyNumberFormat="1" applyFont="1" applyFill="1" applyBorder="1" applyAlignment="1">
      <alignment horizontal="right" vertical="top" wrapText="1"/>
    </xf>
    <xf numFmtId="169" fontId="150" fillId="8" borderId="1" xfId="0" applyFont="1" applyFill="1" applyBorder="1" applyAlignment="1">
      <alignment horizontal="right" vertical="top" wrapText="1"/>
    </xf>
    <xf numFmtId="169" fontId="137" fillId="8" borderId="1" xfId="0" applyFont="1" applyFill="1" applyBorder="1" applyAlignment="1">
      <alignment horizontal="left" vertical="top" wrapText="1"/>
    </xf>
    <xf numFmtId="2" fontId="147" fillId="0" borderId="1" xfId="40" applyNumberFormat="1" applyFont="1" applyBorder="1" applyAlignment="1">
      <alignment horizontal="right" vertical="top" wrapText="1"/>
    </xf>
    <xf numFmtId="2" fontId="147" fillId="8" borderId="1" xfId="41" applyNumberFormat="1" applyFont="1" applyFill="1" applyBorder="1" applyAlignment="1">
      <alignment vertical="top" wrapText="1"/>
    </xf>
    <xf numFmtId="180" fontId="147" fillId="0" borderId="1" xfId="40" applyNumberFormat="1" applyFont="1" applyBorder="1" applyAlignment="1">
      <alignment vertical="top" wrapText="1"/>
    </xf>
    <xf numFmtId="176" fontId="147" fillId="0" borderId="1" xfId="0" applyNumberFormat="1" applyFont="1" applyBorder="1" applyAlignment="1">
      <alignment vertical="top"/>
    </xf>
    <xf numFmtId="176" fontId="147" fillId="0" borderId="1" xfId="40" applyNumberFormat="1" applyFont="1" applyBorder="1" applyAlignment="1">
      <alignment horizontal="right" vertical="top" wrapText="1"/>
    </xf>
    <xf numFmtId="169" fontId="137" fillId="8" borderId="1" xfId="0" applyFont="1" applyFill="1" applyBorder="1" applyAlignment="1">
      <alignment horizontal="left" vertical="top"/>
    </xf>
    <xf numFmtId="0" fontId="137" fillId="8" borderId="1" xfId="0" applyNumberFormat="1" applyFont="1" applyFill="1" applyBorder="1" applyAlignment="1">
      <alignment horizontal="left" vertical="top" wrapText="1"/>
    </xf>
    <xf numFmtId="169" fontId="147" fillId="8" borderId="1" xfId="0" applyFont="1" applyFill="1" applyBorder="1" applyAlignment="1">
      <alignment horizontal="left" vertical="top"/>
    </xf>
    <xf numFmtId="169" fontId="151" fillId="8" borderId="1" xfId="0" applyFont="1" applyFill="1" applyBorder="1" applyAlignment="1">
      <alignment horizontal="center" vertical="top" wrapText="1"/>
    </xf>
    <xf numFmtId="169" fontId="150" fillId="8" borderId="0" xfId="0" applyFont="1" applyFill="1" applyAlignment="1">
      <alignment vertical="top"/>
    </xf>
    <xf numFmtId="169" fontId="137" fillId="0" borderId="1" xfId="0" applyFont="1" applyBorder="1" applyAlignment="1">
      <alignment horizontal="center" vertical="top" wrapText="1"/>
    </xf>
    <xf numFmtId="169" fontId="137" fillId="8" borderId="1" xfId="0" applyFont="1" applyFill="1" applyBorder="1" applyAlignment="1">
      <alignment horizontal="center" vertical="top"/>
    </xf>
    <xf numFmtId="2" fontId="147" fillId="8" borderId="1" xfId="40" applyNumberFormat="1" applyFont="1" applyFill="1" applyBorder="1" applyAlignment="1">
      <alignment horizontal="center" wrapText="1"/>
    </xf>
    <xf numFmtId="2" fontId="147" fillId="8" borderId="1" xfId="41" applyNumberFormat="1" applyFont="1" applyFill="1" applyBorder="1" applyAlignment="1">
      <alignment horizontal="left" vertical="center" wrapText="1"/>
    </xf>
    <xf numFmtId="2" fontId="147" fillId="8" borderId="1" xfId="44" applyNumberFormat="1" applyFont="1" applyFill="1" applyBorder="1" applyAlignment="1">
      <alignment horizontal="right" vertical="top" wrapText="1"/>
    </xf>
    <xf numFmtId="0" fontId="147" fillId="8" borderId="1" xfId="0" applyNumberFormat="1" applyFont="1" applyFill="1" applyBorder="1" applyAlignment="1">
      <alignment horizontal="center" vertical="top" wrapText="1"/>
    </xf>
    <xf numFmtId="2" fontId="147" fillId="8" borderId="1" xfId="41" applyNumberFormat="1" applyFont="1" applyFill="1" applyBorder="1" applyAlignment="1">
      <alignment horizontal="center" vertical="top" wrapText="1"/>
    </xf>
    <xf numFmtId="2" fontId="147" fillId="8" borderId="1" xfId="41" applyNumberFormat="1" applyFont="1" applyFill="1" applyBorder="1" applyAlignment="1">
      <alignment horizontal="right" vertical="center" wrapText="1"/>
    </xf>
    <xf numFmtId="2" fontId="147" fillId="8" borderId="1" xfId="41" applyNumberFormat="1" applyFont="1" applyFill="1" applyBorder="1" applyAlignment="1">
      <alignment horizontal="center" wrapText="1"/>
    </xf>
    <xf numFmtId="169" fontId="149" fillId="9" borderId="1" xfId="0" applyFont="1" applyFill="1" applyBorder="1" applyAlignment="1">
      <alignment vertical="top" wrapText="1"/>
    </xf>
    <xf numFmtId="2" fontId="149" fillId="0" borderId="1" xfId="40" applyNumberFormat="1" applyFont="1" applyBorder="1" applyAlignment="1">
      <alignment horizontal="center" vertical="top" wrapText="1"/>
    </xf>
    <xf numFmtId="176" fontId="147" fillId="14" borderId="1" xfId="40" applyNumberFormat="1" applyFont="1" applyFill="1" applyBorder="1" applyAlignment="1">
      <alignment vertical="top" wrapText="1"/>
    </xf>
    <xf numFmtId="2" fontId="147" fillId="14" borderId="1" xfId="40" applyNumberFormat="1" applyFont="1" applyFill="1" applyBorder="1" applyAlignment="1">
      <alignment vertical="top" wrapText="1"/>
    </xf>
    <xf numFmtId="169" fontId="147" fillId="14" borderId="1" xfId="0" applyFont="1" applyFill="1" applyBorder="1" applyAlignment="1">
      <alignment vertical="top" wrapText="1"/>
    </xf>
    <xf numFmtId="2" fontId="147" fillId="14" borderId="1" xfId="40" applyNumberFormat="1" applyFont="1" applyFill="1" applyBorder="1" applyAlignment="1">
      <alignment horizontal="center" vertical="top" wrapText="1"/>
    </xf>
    <xf numFmtId="169" fontId="147" fillId="14" borderId="0" xfId="0" applyFont="1" applyFill="1" applyAlignment="1">
      <alignment vertical="top"/>
    </xf>
    <xf numFmtId="176" fontId="147" fillId="14" borderId="1" xfId="40" applyNumberFormat="1" applyFont="1" applyFill="1" applyBorder="1" applyAlignment="1">
      <alignment horizontal="right" vertical="top" wrapText="1"/>
    </xf>
    <xf numFmtId="169" fontId="147" fillId="14" borderId="1" xfId="0" applyFont="1" applyFill="1" applyBorder="1" applyAlignment="1">
      <alignment vertical="top"/>
    </xf>
    <xf numFmtId="169" fontId="150" fillId="0" borderId="1" xfId="0" applyFont="1" applyBorder="1" applyAlignment="1">
      <alignment horizontal="right" vertical="top" wrapText="1"/>
    </xf>
    <xf numFmtId="169" fontId="149" fillId="0" borderId="1" xfId="0" applyFont="1" applyBorder="1" applyAlignment="1">
      <alignment vertical="top" wrapText="1"/>
    </xf>
    <xf numFmtId="169" fontId="147" fillId="8" borderId="1" xfId="0" applyFont="1" applyFill="1" applyBorder="1" applyAlignment="1">
      <alignment horizontal="center" vertical="top" wrapText="1"/>
    </xf>
    <xf numFmtId="2" fontId="147" fillId="9" borderId="1" xfId="40" applyNumberFormat="1" applyFont="1" applyFill="1" applyBorder="1" applyAlignment="1">
      <alignment vertical="top" wrapText="1"/>
    </xf>
    <xf numFmtId="2" fontId="147" fillId="0" borderId="1" xfId="41" applyNumberFormat="1" applyFont="1" applyBorder="1" applyAlignment="1">
      <alignment vertical="top" wrapText="1"/>
    </xf>
    <xf numFmtId="1" fontId="147" fillId="0" borderId="1" xfId="40" applyNumberFormat="1" applyFont="1" applyBorder="1" applyAlignment="1">
      <alignment horizontal="right" vertical="top" wrapText="1"/>
    </xf>
    <xf numFmtId="2" fontId="147" fillId="8" borderId="1" xfId="0" applyNumberFormat="1" applyFont="1" applyFill="1" applyBorder="1" applyAlignment="1">
      <alignment horizontal="center" vertical="top" wrapText="1"/>
    </xf>
    <xf numFmtId="2" fontId="147" fillId="0" borderId="1" xfId="0" applyNumberFormat="1" applyFont="1" applyBorder="1" applyAlignment="1">
      <alignment horizontal="center" vertical="top" wrapText="1"/>
    </xf>
    <xf numFmtId="169" fontId="147" fillId="0" borderId="1" xfId="0" applyFont="1" applyBorder="1" applyAlignment="1">
      <alignment horizontal="center" vertical="top" wrapText="1"/>
    </xf>
    <xf numFmtId="169" fontId="147" fillId="8" borderId="1" xfId="0" applyFont="1" applyFill="1" applyBorder="1" applyAlignment="1">
      <alignment horizontal="right" vertical="center" wrapText="1"/>
    </xf>
    <xf numFmtId="169" fontId="147" fillId="8" borderId="1" xfId="0" applyFont="1" applyFill="1" applyBorder="1" applyAlignment="1">
      <alignment horizontal="center" wrapText="1"/>
    </xf>
    <xf numFmtId="1" fontId="147" fillId="8" borderId="1" xfId="40" applyNumberFormat="1" applyFont="1" applyFill="1" applyBorder="1" applyAlignment="1">
      <alignment horizontal="center" vertical="top" wrapText="1"/>
    </xf>
    <xf numFmtId="0" fontId="147" fillId="8" borderId="1" xfId="0" applyNumberFormat="1" applyFont="1" applyFill="1" applyBorder="1" applyAlignment="1">
      <alignment horizontal="left" vertical="top" wrapText="1"/>
    </xf>
    <xf numFmtId="2" fontId="137" fillId="14" borderId="1" xfId="40" applyNumberFormat="1" applyFont="1" applyFill="1" applyBorder="1" applyAlignment="1">
      <alignment vertical="top" wrapText="1"/>
    </xf>
    <xf numFmtId="169" fontId="147" fillId="14" borderId="1" xfId="0" applyFont="1" applyFill="1" applyBorder="1" applyAlignment="1">
      <alignment horizontal="right" wrapText="1"/>
    </xf>
    <xf numFmtId="169" fontId="147" fillId="14" borderId="1" xfId="0" applyFont="1" applyFill="1" applyBorder="1" applyAlignment="1">
      <alignment horizontal="center" wrapText="1"/>
    </xf>
    <xf numFmtId="1" fontId="147" fillId="0" borderId="1" xfId="40" applyNumberFormat="1" applyFont="1" applyBorder="1" applyAlignment="1">
      <alignment vertical="top" wrapText="1"/>
    </xf>
    <xf numFmtId="1" fontId="147" fillId="0" borderId="1" xfId="40" applyNumberFormat="1" applyFont="1" applyBorder="1" applyAlignment="1">
      <alignment horizontal="center" vertical="top" wrapText="1"/>
    </xf>
    <xf numFmtId="169" fontId="150" fillId="0" borderId="1" xfId="0" applyFont="1" applyBorder="1" applyAlignment="1">
      <alignment vertical="top" wrapText="1"/>
    </xf>
    <xf numFmtId="169" fontId="114" fillId="0" borderId="1" xfId="0" applyFont="1" applyBorder="1" applyAlignment="1">
      <alignment vertical="top" wrapText="1"/>
    </xf>
    <xf numFmtId="169" fontId="114" fillId="0" borderId="1" xfId="0" applyFont="1" applyBorder="1" applyAlignment="1">
      <alignment horizontal="center" vertical="top"/>
    </xf>
    <xf numFmtId="0" fontId="114" fillId="0" borderId="1" xfId="38" applyFont="1" applyBorder="1" applyAlignment="1">
      <alignment horizontal="center" vertical="top" wrapText="1"/>
    </xf>
    <xf numFmtId="169" fontId="152" fillId="0" borderId="1" xfId="0" applyFont="1" applyBorder="1" applyAlignment="1">
      <alignment vertical="top" wrapText="1"/>
    </xf>
    <xf numFmtId="2" fontId="137" fillId="9" borderId="1" xfId="41" applyNumberFormat="1" applyFont="1" applyFill="1" applyBorder="1" applyAlignment="1">
      <alignment horizontal="left" vertical="center" wrapText="1"/>
    </xf>
    <xf numFmtId="169" fontId="147" fillId="9" borderId="1" xfId="0" applyFont="1" applyFill="1" applyBorder="1" applyAlignment="1">
      <alignment horizontal="right" vertical="top" wrapText="1"/>
    </xf>
    <xf numFmtId="169" fontId="147" fillId="9" borderId="1" xfId="0" applyFont="1" applyFill="1" applyBorder="1" applyAlignment="1">
      <alignment horizontal="center" vertical="top" wrapText="1"/>
    </xf>
    <xf numFmtId="2" fontId="147" fillId="9" borderId="1" xfId="41" applyNumberFormat="1" applyFont="1" applyFill="1" applyBorder="1" applyAlignment="1">
      <alignment horizontal="left" vertical="center" wrapText="1"/>
    </xf>
    <xf numFmtId="2" fontId="147" fillId="15" borderId="1" xfId="41" applyNumberFormat="1" applyFont="1" applyFill="1" applyBorder="1" applyAlignment="1">
      <alignment vertical="top" wrapText="1"/>
    </xf>
    <xf numFmtId="2" fontId="147" fillId="9" borderId="1" xfId="44" applyNumberFormat="1" applyFont="1" applyFill="1" applyBorder="1" applyAlignment="1">
      <alignment horizontal="right" vertical="top" wrapText="1"/>
    </xf>
    <xf numFmtId="169" fontId="147" fillId="8" borderId="1" xfId="14" applyNumberFormat="1" applyFont="1" applyFill="1" applyBorder="1" applyAlignment="1">
      <alignment horizontal="center" vertical="top" wrapText="1"/>
    </xf>
    <xf numFmtId="2" fontId="137" fillId="9" borderId="1" xfId="41" applyNumberFormat="1" applyFont="1" applyFill="1" applyBorder="1" applyAlignment="1">
      <alignment vertical="top" wrapText="1"/>
    </xf>
    <xf numFmtId="169" fontId="137" fillId="9" borderId="1" xfId="0" applyFont="1" applyFill="1" applyBorder="1" applyAlignment="1">
      <alignment vertical="top"/>
    </xf>
    <xf numFmtId="2" fontId="137" fillId="9" borderId="1" xfId="40" applyNumberFormat="1" applyFont="1" applyFill="1" applyBorder="1" applyAlignment="1">
      <alignment vertical="top" wrapText="1"/>
    </xf>
    <xf numFmtId="0" fontId="147" fillId="8" borderId="1" xfId="14"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0" fontId="147" fillId="8" borderId="1" xfId="14" applyFont="1" applyFill="1" applyBorder="1" applyAlignment="1">
      <alignment horizontal="center" vertical="top" wrapText="1"/>
    </xf>
    <xf numFmtId="176" fontId="137" fillId="8" borderId="1" xfId="40" applyNumberFormat="1" applyFont="1" applyFill="1" applyBorder="1" applyAlignment="1">
      <alignment vertical="top" wrapText="1"/>
    </xf>
    <xf numFmtId="2" fontId="137" fillId="8" borderId="1" xfId="41" applyNumberFormat="1" applyFont="1" applyFill="1" applyBorder="1" applyAlignment="1">
      <alignment horizontal="left" vertical="center" wrapText="1"/>
    </xf>
    <xf numFmtId="2" fontId="137" fillId="8" borderId="1" xfId="44" applyNumberFormat="1" applyFont="1" applyFill="1" applyBorder="1" applyAlignment="1">
      <alignment horizontal="right" vertical="top" wrapText="1"/>
    </xf>
    <xf numFmtId="2" fontId="137" fillId="8" borderId="1" xfId="41" applyNumberFormat="1" applyFont="1" applyFill="1" applyBorder="1" applyAlignment="1">
      <alignment horizontal="center" vertical="top" wrapText="1"/>
    </xf>
    <xf numFmtId="169" fontId="137" fillId="8" borderId="0" xfId="0" applyFont="1" applyFill="1" applyAlignment="1">
      <alignment vertical="top"/>
    </xf>
    <xf numFmtId="2" fontId="137" fillId="8" borderId="1" xfId="41" applyNumberFormat="1" applyFont="1" applyFill="1" applyBorder="1" applyAlignment="1">
      <alignment vertical="top" wrapText="1"/>
    </xf>
    <xf numFmtId="169" fontId="147"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9" fontId="114" fillId="8" borderId="1" xfId="0" applyFont="1" applyFill="1" applyBorder="1" applyAlignment="1">
      <alignment vertical="top"/>
    </xf>
    <xf numFmtId="169" fontId="114" fillId="8" borderId="1" xfId="0" applyFont="1" applyFill="1" applyBorder="1" applyAlignment="1">
      <alignment horizontal="center" vertical="top"/>
    </xf>
    <xf numFmtId="2" fontId="149" fillId="8" borderId="1" xfId="40" applyNumberFormat="1" applyFont="1" applyFill="1" applyBorder="1" applyAlignment="1">
      <alignment horizontal="left" vertical="center" wrapText="1"/>
    </xf>
    <xf numFmtId="2" fontId="149" fillId="8" borderId="1" xfId="44" applyNumberFormat="1" applyFont="1" applyFill="1" applyBorder="1" applyAlignment="1">
      <alignment horizontal="right" vertical="top" wrapText="1"/>
    </xf>
    <xf numFmtId="2" fontId="149" fillId="8" borderId="1" xfId="41" applyNumberFormat="1" applyFont="1" applyFill="1" applyBorder="1" applyAlignment="1">
      <alignment horizontal="center" vertical="top" wrapText="1"/>
    </xf>
    <xf numFmtId="2" fontId="149" fillId="8" borderId="1" xfId="40" applyNumberFormat="1" applyFont="1" applyFill="1" applyBorder="1" applyAlignment="1">
      <alignment horizontal="left" vertical="top" wrapText="1"/>
    </xf>
    <xf numFmtId="2" fontId="149" fillId="9" borderId="1" xfId="44" applyNumberFormat="1" applyFont="1" applyFill="1" applyBorder="1" applyAlignment="1">
      <alignment horizontal="right" vertical="top" wrapText="1"/>
    </xf>
    <xf numFmtId="2" fontId="137" fillId="0" borderId="1" xfId="41" applyNumberFormat="1" applyFont="1" applyBorder="1" applyAlignment="1">
      <alignment vertical="top" wrapText="1"/>
    </xf>
    <xf numFmtId="2" fontId="147" fillId="9" borderId="1" xfId="41" applyNumberFormat="1" applyFont="1" applyFill="1" applyBorder="1" applyAlignment="1">
      <alignment vertical="top" wrapText="1"/>
    </xf>
    <xf numFmtId="2" fontId="147" fillId="8" borderId="1" xfId="41" applyNumberFormat="1" applyFont="1" applyFill="1" applyBorder="1" applyAlignment="1">
      <alignment horizontal="right" vertical="top" wrapText="1"/>
    </xf>
    <xf numFmtId="2" fontId="147" fillId="8" borderId="1" xfId="41" applyNumberFormat="1" applyFont="1" applyFill="1" applyBorder="1" applyAlignment="1">
      <alignment horizontal="right" wrapText="1"/>
    </xf>
    <xf numFmtId="2" fontId="147" fillId="0" borderId="1" xfId="44" applyNumberFormat="1" applyFont="1" applyFill="1" applyBorder="1" applyAlignment="1">
      <alignment horizontal="right" vertical="top" wrapText="1"/>
    </xf>
    <xf numFmtId="2" fontId="147" fillId="0" borderId="1" xfId="40" applyNumberFormat="1" applyFont="1" applyBorder="1" applyAlignment="1">
      <alignment horizontal="center" vertical="center" wrapText="1"/>
    </xf>
    <xf numFmtId="2" fontId="149" fillId="0" borderId="1" xfId="44" applyNumberFormat="1" applyFont="1" applyFill="1" applyBorder="1" applyAlignment="1">
      <alignment horizontal="right" vertical="top" wrapText="1"/>
    </xf>
    <xf numFmtId="2" fontId="153" fillId="8" borderId="1" xfId="40" applyNumberFormat="1" applyFont="1" applyFill="1" applyBorder="1" applyAlignment="1">
      <alignment vertical="top" wrapText="1"/>
    </xf>
    <xf numFmtId="2" fontId="137" fillId="8" borderId="1" xfId="40" applyNumberFormat="1" applyFont="1" applyFill="1" applyBorder="1" applyAlignment="1">
      <alignment vertical="center" wrapText="1"/>
    </xf>
    <xf numFmtId="2" fontId="153" fillId="8" borderId="1" xfId="40" applyNumberFormat="1" applyFont="1" applyFill="1" applyBorder="1" applyAlignment="1">
      <alignment vertical="center" wrapText="1"/>
    </xf>
    <xf numFmtId="2" fontId="147" fillId="8" borderId="1" xfId="40" applyNumberFormat="1" applyFont="1" applyFill="1" applyBorder="1" applyAlignment="1">
      <alignment vertical="center" wrapText="1"/>
    </xf>
    <xf numFmtId="169" fontId="153" fillId="8" borderId="1" xfId="0" applyFont="1" applyFill="1" applyBorder="1" applyAlignment="1">
      <alignment vertical="top"/>
    </xf>
    <xf numFmtId="2" fontId="150" fillId="8" borderId="1" xfId="40" applyNumberFormat="1" applyFont="1" applyFill="1" applyBorder="1" applyAlignment="1">
      <alignment vertical="top" wrapText="1"/>
    </xf>
    <xf numFmtId="2" fontId="147" fillId="8" borderId="1" xfId="40" applyNumberFormat="1" applyFont="1" applyFill="1" applyBorder="1" applyAlignment="1">
      <alignment horizontal="center" vertical="center" wrapText="1"/>
    </xf>
    <xf numFmtId="2" fontId="147" fillId="0" borderId="1" xfId="40" applyNumberFormat="1" applyFont="1" applyBorder="1" applyAlignment="1">
      <alignment horizontal="left" vertical="top" wrapText="1"/>
    </xf>
    <xf numFmtId="169" fontId="147" fillId="8" borderId="1" xfId="0" applyFont="1" applyFill="1" applyBorder="1" applyAlignment="1">
      <alignment horizontal="left" vertical="top" wrapText="1"/>
    </xf>
    <xf numFmtId="2" fontId="147" fillId="8" borderId="1" xfId="40" applyNumberFormat="1" applyFont="1" applyFill="1" applyBorder="1" applyAlignment="1">
      <alignment horizontal="right" vertical="center" wrapText="1"/>
    </xf>
    <xf numFmtId="2" fontId="150" fillId="0" borderId="1" xfId="40" applyNumberFormat="1" applyFont="1" applyBorder="1" applyAlignment="1">
      <alignment vertical="top" wrapText="1"/>
    </xf>
    <xf numFmtId="1" fontId="147" fillId="16" borderId="1" xfId="40" applyNumberFormat="1" applyFont="1" applyFill="1" applyBorder="1" applyAlignment="1">
      <alignment vertical="top" wrapText="1"/>
    </xf>
    <xf numFmtId="2" fontId="147" fillId="16" borderId="1" xfId="40" applyNumberFormat="1" applyFont="1" applyFill="1" applyBorder="1" applyAlignment="1">
      <alignment vertical="top" wrapText="1"/>
    </xf>
    <xf numFmtId="2" fontId="147" fillId="16" borderId="1" xfId="40" applyNumberFormat="1" applyFont="1" applyFill="1" applyBorder="1" applyAlignment="1">
      <alignment horizontal="center" vertical="top" wrapText="1"/>
    </xf>
    <xf numFmtId="169" fontId="114" fillId="9" borderId="1" xfId="0" applyFont="1" applyFill="1" applyBorder="1" applyAlignment="1">
      <alignment vertical="top" wrapText="1"/>
    </xf>
    <xf numFmtId="169" fontId="147" fillId="9" borderId="1" xfId="0" applyFont="1" applyFill="1" applyBorder="1" applyAlignment="1">
      <alignment horizontal="center" vertical="top"/>
    </xf>
    <xf numFmtId="0" fontId="147" fillId="9" borderId="1" xfId="38" applyFont="1" applyFill="1" applyBorder="1" applyAlignment="1">
      <alignment horizontal="center" vertical="top" wrapText="1"/>
    </xf>
    <xf numFmtId="169" fontId="147" fillId="16" borderId="0" xfId="0" applyFont="1" applyFill="1" applyAlignment="1">
      <alignment vertical="top"/>
    </xf>
    <xf numFmtId="169" fontId="148" fillId="0" borderId="1" xfId="0" applyFont="1" applyBorder="1" applyAlignment="1">
      <alignment vertical="top" wrapText="1"/>
    </xf>
    <xf numFmtId="169" fontId="147" fillId="0" borderId="1" xfId="0" applyFont="1" applyBorder="1" applyAlignment="1">
      <alignment horizontal="center" vertical="center"/>
    </xf>
    <xf numFmtId="0" fontId="147" fillId="0" borderId="1" xfId="38" applyFont="1" applyBorder="1" applyAlignment="1">
      <alignment horizontal="center" vertical="center" wrapText="1"/>
    </xf>
    <xf numFmtId="2" fontId="147" fillId="0" borderId="1" xfId="42" applyNumberFormat="1" applyFont="1" applyBorder="1" applyAlignment="1">
      <alignment horizontal="left" vertical="top" wrapText="1"/>
    </xf>
    <xf numFmtId="169" fontId="147" fillId="0" borderId="1" xfId="0" applyFont="1" applyBorder="1" applyAlignment="1">
      <alignment horizontal="center" vertical="top"/>
    </xf>
    <xf numFmtId="0" fontId="147" fillId="0" borderId="1" xfId="38" applyFont="1" applyBorder="1" applyAlignment="1">
      <alignment horizontal="center" vertical="top" wrapText="1"/>
    </xf>
    <xf numFmtId="2" fontId="147" fillId="0" borderId="1" xfId="38" applyNumberFormat="1" applyFont="1" applyBorder="1" applyAlignment="1">
      <alignment horizontal="center" vertical="top" wrapText="1"/>
    </xf>
    <xf numFmtId="169" fontId="154" fillId="0" borderId="1" xfId="0" applyFont="1" applyBorder="1" applyAlignment="1">
      <alignment vertical="top" wrapText="1"/>
    </xf>
    <xf numFmtId="169" fontId="155" fillId="0" borderId="1" xfId="0" applyFont="1" applyBorder="1" applyAlignment="1">
      <alignment vertical="top" wrapText="1"/>
    </xf>
    <xf numFmtId="169" fontId="156" fillId="0" borderId="1" xfId="0" applyFont="1" applyBorder="1" applyAlignment="1">
      <alignment vertical="top" wrapText="1"/>
    </xf>
    <xf numFmtId="2" fontId="147" fillId="0" borderId="1" xfId="38" applyNumberFormat="1" applyFont="1" applyBorder="1" applyAlignment="1">
      <alignment horizontal="center" vertical="center" wrapText="1"/>
    </xf>
    <xf numFmtId="169" fontId="155" fillId="0" borderId="1" xfId="0" applyFont="1" applyBorder="1" applyAlignment="1">
      <alignment horizontal="center" vertical="center"/>
    </xf>
    <xf numFmtId="169" fontId="157" fillId="0" borderId="1" xfId="0" applyFont="1" applyBorder="1" applyAlignment="1">
      <alignment vertical="top" wrapText="1"/>
    </xf>
    <xf numFmtId="169" fontId="155" fillId="0" borderId="1" xfId="0" applyFont="1" applyBorder="1" applyAlignment="1">
      <alignment horizontal="center" vertical="center" wrapText="1"/>
    </xf>
    <xf numFmtId="169" fontId="155" fillId="0" borderId="1" xfId="0" applyFont="1" applyBorder="1" applyAlignment="1">
      <alignment horizontal="center" vertical="top" wrapText="1"/>
    </xf>
    <xf numFmtId="0" fontId="137" fillId="0" borderId="1" xfId="38" applyFont="1" applyBorder="1" applyAlignment="1">
      <alignment horizontal="justify" vertical="top" wrapText="1"/>
    </xf>
    <xf numFmtId="169" fontId="155" fillId="0" borderId="1" xfId="0" applyFont="1" applyBorder="1" applyAlignment="1">
      <alignment vertical="center" wrapText="1"/>
    </xf>
    <xf numFmtId="169" fontId="154" fillId="0" borderId="1" xfId="0" applyFont="1" applyBorder="1" applyAlignment="1">
      <alignment horizontal="left" vertical="top" wrapText="1"/>
    </xf>
    <xf numFmtId="169" fontId="155" fillId="0" borderId="1" xfId="0" applyFont="1" applyBorder="1" applyAlignment="1">
      <alignment horizontal="left" vertical="top" wrapText="1"/>
    </xf>
    <xf numFmtId="169" fontId="155" fillId="0" borderId="1" xfId="0" applyFont="1" applyBorder="1" applyAlignment="1">
      <alignment vertical="top"/>
    </xf>
    <xf numFmtId="169" fontId="155" fillId="0" borderId="1" xfId="0" applyFont="1" applyBorder="1" applyAlignment="1">
      <alignment horizontal="left" vertical="top"/>
    </xf>
    <xf numFmtId="169" fontId="147" fillId="0" borderId="1" xfId="0" applyFont="1" applyBorder="1" applyAlignment="1">
      <alignment horizontal="left" vertical="top"/>
    </xf>
    <xf numFmtId="0" fontId="137" fillId="0" borderId="1" xfId="38" applyFont="1" applyBorder="1" applyAlignment="1">
      <alignment horizontal="left" vertical="top" wrapText="1"/>
    </xf>
    <xf numFmtId="169" fontId="154" fillId="0" borderId="1" xfId="0" applyFont="1" applyBorder="1" applyAlignment="1">
      <alignment horizontal="left" vertical="top"/>
    </xf>
    <xf numFmtId="169" fontId="155" fillId="0" borderId="1" xfId="0" applyFont="1" applyBorder="1" applyAlignment="1">
      <alignment horizontal="left" vertical="center" wrapText="1"/>
    </xf>
    <xf numFmtId="1" fontId="147" fillId="9" borderId="1" xfId="40" applyNumberFormat="1" applyFont="1" applyFill="1" applyBorder="1" applyAlignment="1">
      <alignment vertical="top" wrapText="1"/>
    </xf>
    <xf numFmtId="169" fontId="155" fillId="9" borderId="1" xfId="0" applyFont="1" applyFill="1" applyBorder="1" applyAlignment="1">
      <alignment horizontal="left" vertical="center" wrapText="1"/>
    </xf>
    <xf numFmtId="2" fontId="147" fillId="9" borderId="1" xfId="38" applyNumberFormat="1" applyFont="1" applyFill="1" applyBorder="1" applyAlignment="1">
      <alignment horizontal="center" vertical="center" wrapText="1"/>
    </xf>
    <xf numFmtId="0" fontId="147" fillId="9" borderId="1" xfId="38" applyFont="1" applyFill="1" applyBorder="1" applyAlignment="1">
      <alignment horizontal="center" vertical="center" wrapText="1"/>
    </xf>
    <xf numFmtId="169" fontId="147" fillId="9" borderId="0" xfId="0" applyFont="1" applyFill="1" applyAlignment="1">
      <alignment vertical="top"/>
    </xf>
    <xf numFmtId="169" fontId="149" fillId="0" borderId="1" xfId="0" applyFont="1" applyBorder="1" applyAlignment="1">
      <alignment horizontal="left" vertical="center" wrapText="1"/>
    </xf>
    <xf numFmtId="0" fontId="137" fillId="9" borderId="1" xfId="38" applyFont="1" applyFill="1" applyBorder="1" applyAlignment="1">
      <alignment horizontal="justify" vertical="center" wrapText="1"/>
    </xf>
    <xf numFmtId="169" fontId="149" fillId="0" borderId="1" xfId="0" applyFont="1" applyBorder="1" applyAlignment="1">
      <alignment horizontal="left" vertical="top" wrapText="1"/>
    </xf>
    <xf numFmtId="2" fontId="147" fillId="0" borderId="1" xfId="39" applyNumberFormat="1" applyFont="1" applyBorder="1" applyAlignment="1">
      <alignment horizontal="center" vertical="top" wrapText="1"/>
    </xf>
    <xf numFmtId="169" fontId="137" fillId="0" borderId="1" xfId="0" applyFont="1" applyBorder="1" applyAlignment="1">
      <alignment horizontal="left" vertical="top" wrapText="1"/>
    </xf>
    <xf numFmtId="169" fontId="147" fillId="0" borderId="1" xfId="0" applyFont="1" applyBorder="1" applyAlignment="1">
      <alignment horizontal="left" vertical="top" wrapText="1"/>
    </xf>
    <xf numFmtId="169" fontId="148" fillId="0" borderId="1" xfId="0" applyFont="1" applyBorder="1" applyAlignment="1">
      <alignment horizontal="left" vertical="top" wrapText="1"/>
    </xf>
    <xf numFmtId="2" fontId="150" fillId="0" borderId="1" xfId="39" applyNumberFormat="1" applyFont="1" applyBorder="1" applyAlignment="1">
      <alignment horizontal="center" vertical="center" wrapText="1"/>
    </xf>
    <xf numFmtId="2" fontId="147" fillId="0" borderId="1" xfId="39" applyNumberFormat="1" applyFont="1" applyBorder="1" applyAlignment="1">
      <alignment horizontal="center" vertical="center" wrapText="1"/>
    </xf>
    <xf numFmtId="169" fontId="143" fillId="0" borderId="1" xfId="0" applyFont="1" applyBorder="1" applyAlignment="1">
      <alignment horizontal="left" vertical="top" wrapText="1"/>
    </xf>
    <xf numFmtId="2" fontId="150" fillId="0" borderId="1" xfId="38" applyNumberFormat="1" applyFont="1" applyBorder="1" applyAlignment="1">
      <alignment horizontal="center" vertical="top" wrapText="1"/>
    </xf>
    <xf numFmtId="169" fontId="87" fillId="0" borderId="1" xfId="0" applyFont="1" applyBorder="1" applyAlignment="1">
      <alignment horizontal="left" vertical="top" wrapText="1"/>
    </xf>
    <xf numFmtId="169" fontId="154" fillId="8" borderId="1" xfId="0" applyFont="1" applyFill="1" applyBorder="1" applyAlignment="1">
      <alignment horizontal="left" vertical="top"/>
    </xf>
    <xf numFmtId="169" fontId="156" fillId="0" borderId="1" xfId="0" applyFont="1" applyBorder="1" applyAlignment="1">
      <alignment horizontal="left" vertical="top" wrapText="1"/>
    </xf>
    <xf numFmtId="0" fontId="137"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47" fillId="0" borderId="1" xfId="0" applyNumberFormat="1" applyFont="1" applyBorder="1" applyAlignment="1">
      <alignment horizontal="center" vertical="top"/>
    </xf>
    <xf numFmtId="0" fontId="147" fillId="0" borderId="1" xfId="0" applyNumberFormat="1" applyFont="1" applyBorder="1" applyAlignment="1">
      <alignment horizontal="center" vertical="top"/>
    </xf>
    <xf numFmtId="0" fontId="147" fillId="0" borderId="1" xfId="0" applyNumberFormat="1" applyFont="1" applyBorder="1" applyAlignment="1">
      <alignment horizontal="justify" vertical="top" wrapText="1"/>
    </xf>
    <xf numFmtId="2" fontId="147" fillId="0" borderId="1" xfId="0" applyNumberFormat="1" applyFont="1" applyBorder="1" applyAlignment="1">
      <alignment horizontal="center" vertical="center" wrapText="1"/>
    </xf>
    <xf numFmtId="0" fontId="147" fillId="0" borderId="1" xfId="0" applyNumberFormat="1" applyFont="1" applyBorder="1" applyAlignment="1">
      <alignment horizontal="center" vertical="center" wrapText="1"/>
    </xf>
    <xf numFmtId="2" fontId="147" fillId="0" borderId="1" xfId="0" applyNumberFormat="1" applyFont="1" applyBorder="1" applyAlignment="1">
      <alignment horizontal="center" vertical="center"/>
    </xf>
    <xf numFmtId="0" fontId="147"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47" fillId="0" borderId="1" xfId="0" applyNumberFormat="1" applyFont="1" applyBorder="1" applyAlignment="1">
      <alignment horizontal="center" vertical="top" wrapText="1"/>
    </xf>
    <xf numFmtId="0" fontId="147" fillId="0" borderId="1" xfId="0" applyNumberFormat="1" applyFont="1" applyBorder="1" applyAlignment="1">
      <alignment horizontal="justify" vertical="justify"/>
    </xf>
    <xf numFmtId="0" fontId="137" fillId="0" borderId="1" xfId="0" applyNumberFormat="1" applyFont="1" applyBorder="1" applyAlignment="1">
      <alignment horizontal="left" vertical="top"/>
    </xf>
    <xf numFmtId="2" fontId="147" fillId="0" borderId="1" xfId="1" applyNumberFormat="1" applyFont="1" applyBorder="1" applyAlignment="1">
      <alignment horizontal="center" vertical="top"/>
    </xf>
    <xf numFmtId="2" fontId="147" fillId="0" borderId="1" xfId="1" applyNumberFormat="1" applyFont="1" applyFill="1" applyBorder="1" applyAlignment="1">
      <alignment horizontal="center" vertical="top"/>
    </xf>
    <xf numFmtId="2" fontId="147" fillId="0" borderId="1" xfId="1" applyNumberFormat="1" applyFont="1" applyBorder="1" applyAlignment="1">
      <alignment horizontal="center" vertical="center"/>
    </xf>
    <xf numFmtId="169" fontId="137" fillId="0" borderId="1" xfId="0" applyFont="1" applyBorder="1" applyAlignment="1">
      <alignment vertical="top" wrapText="1"/>
    </xf>
    <xf numFmtId="2" fontId="147" fillId="9" borderId="1" xfId="38" applyNumberFormat="1" applyFont="1" applyFill="1" applyBorder="1" applyAlignment="1">
      <alignment horizontal="center" vertical="top" wrapText="1"/>
    </xf>
    <xf numFmtId="169" fontId="154" fillId="9" borderId="1" xfId="0" applyFont="1" applyFill="1" applyBorder="1" applyAlignment="1">
      <alignment vertical="top" wrapText="1"/>
    </xf>
    <xf numFmtId="169" fontId="154" fillId="0" borderId="1" xfId="0" applyFont="1" applyBorder="1" applyAlignment="1">
      <alignment vertical="center" wrapText="1"/>
    </xf>
    <xf numFmtId="169" fontId="154" fillId="8" borderId="1" xfId="0" applyFont="1" applyFill="1" applyBorder="1" applyAlignment="1">
      <alignment vertical="top" wrapText="1"/>
    </xf>
    <xf numFmtId="169" fontId="137" fillId="0" borderId="1" xfId="0" applyFont="1" applyBorder="1" applyAlignment="1">
      <alignment wrapText="1"/>
    </xf>
    <xf numFmtId="2" fontId="147" fillId="0" borderId="1" xfId="38" applyNumberFormat="1" applyFont="1" applyBorder="1" applyAlignment="1">
      <alignment horizontal="center" wrapText="1"/>
    </xf>
    <xf numFmtId="169" fontId="147" fillId="0" borderId="1" xfId="0" applyFont="1" applyBorder="1" applyAlignment="1">
      <alignment horizontal="center"/>
    </xf>
    <xf numFmtId="169" fontId="87" fillId="0" borderId="1" xfId="0" applyFont="1" applyBorder="1" applyAlignment="1">
      <alignment vertical="top" wrapText="1"/>
    </xf>
    <xf numFmtId="169" fontId="137" fillId="8" borderId="1" xfId="0" applyFont="1" applyFill="1" applyBorder="1" applyAlignment="1">
      <alignment horizontal="right" vertical="top"/>
    </xf>
    <xf numFmtId="169" fontId="147" fillId="8" borderId="1" xfId="0" applyFont="1" applyFill="1" applyBorder="1" applyAlignment="1">
      <alignment horizontal="right" vertical="top"/>
    </xf>
    <xf numFmtId="169" fontId="147" fillId="8" borderId="13" xfId="0" applyFont="1" applyFill="1" applyBorder="1" applyAlignment="1">
      <alignment vertical="top"/>
    </xf>
    <xf numFmtId="2" fontId="147" fillId="8" borderId="13" xfId="40" applyNumberFormat="1" applyFont="1" applyFill="1" applyBorder="1" applyAlignment="1">
      <alignment vertical="top" wrapText="1"/>
    </xf>
    <xf numFmtId="169" fontId="147" fillId="8" borderId="13" xfId="0" applyFont="1" applyFill="1" applyBorder="1" applyAlignment="1">
      <alignment horizontal="right" vertical="top"/>
    </xf>
    <xf numFmtId="2" fontId="147" fillId="8" borderId="13" xfId="40" applyNumberFormat="1" applyFont="1" applyFill="1" applyBorder="1" applyAlignment="1">
      <alignment horizontal="center" vertical="top" wrapText="1"/>
    </xf>
    <xf numFmtId="169" fontId="147" fillId="8" borderId="2" xfId="0" applyFont="1" applyFill="1" applyBorder="1" applyAlignment="1">
      <alignment vertical="top" wrapText="1"/>
    </xf>
    <xf numFmtId="2" fontId="147" fillId="8" borderId="2" xfId="40" applyNumberFormat="1" applyFont="1" applyFill="1" applyBorder="1" applyAlignment="1">
      <alignment vertical="top" wrapText="1"/>
    </xf>
    <xf numFmtId="169" fontId="147" fillId="8" borderId="2" xfId="0" applyFont="1" applyFill="1" applyBorder="1" applyAlignment="1">
      <alignment horizontal="right" vertical="top"/>
    </xf>
    <xf numFmtId="169" fontId="147" fillId="8" borderId="2" xfId="0" applyFont="1" applyFill="1" applyBorder="1" applyAlignment="1">
      <alignment horizontal="center" vertical="top"/>
    </xf>
    <xf numFmtId="2" fontId="137" fillId="8" borderId="2" xfId="40" applyNumberFormat="1" applyFont="1" applyFill="1" applyBorder="1" applyAlignment="1">
      <alignment vertical="top" wrapText="1"/>
    </xf>
    <xf numFmtId="169" fontId="147" fillId="8" borderId="2" xfId="0" applyFont="1" applyFill="1" applyBorder="1" applyAlignment="1">
      <alignment horizontal="left" vertical="top"/>
    </xf>
    <xf numFmtId="169" fontId="137" fillId="8" borderId="2" xfId="0" applyFont="1" applyFill="1" applyBorder="1" applyAlignment="1">
      <alignment vertical="top" wrapText="1"/>
    </xf>
    <xf numFmtId="169" fontId="147" fillId="8" borderId="2" xfId="0" applyFont="1" applyFill="1" applyBorder="1"/>
    <xf numFmtId="169" fontId="147" fillId="8" borderId="0" xfId="0" applyFont="1" applyFill="1" applyAlignment="1">
      <alignment horizontal="right" vertical="top"/>
    </xf>
    <xf numFmtId="169" fontId="69" fillId="0" borderId="0" xfId="0" applyFont="1" applyAlignment="1">
      <alignment horizontal="left" vertical="center" wrapText="1"/>
    </xf>
    <xf numFmtId="169" fontId="87" fillId="0" borderId="0" xfId="0" applyFont="1" applyAlignment="1">
      <alignment horizontal="center"/>
    </xf>
    <xf numFmtId="169" fontId="68" fillId="0" borderId="0" xfId="0" applyFont="1" applyAlignment="1">
      <alignment horizontal="left" wrapText="1"/>
    </xf>
    <xf numFmtId="170" fontId="60" fillId="0" borderId="0" xfId="0" applyNumberFormat="1" applyFont="1" applyAlignment="1">
      <alignment horizontal="left"/>
    </xf>
    <xf numFmtId="170" fontId="60" fillId="0" borderId="0" xfId="0" applyNumberFormat="1" applyFont="1" applyAlignment="1">
      <alignment horizontal="center" vertical="top"/>
    </xf>
    <xf numFmtId="169" fontId="60" fillId="0" borderId="0" xfId="0" applyFont="1" applyAlignment="1">
      <alignment horizontal="center" vertical="center"/>
    </xf>
    <xf numFmtId="169" fontId="69" fillId="0" borderId="0" xfId="0" applyFont="1" applyAlignment="1">
      <alignment horizontal="center" wrapText="1"/>
    </xf>
    <xf numFmtId="2" fontId="69" fillId="0" borderId="0" xfId="0" applyNumberFormat="1" applyFont="1" applyAlignment="1">
      <alignment horizontal="center" vertical="center" wrapText="1"/>
    </xf>
    <xf numFmtId="169" fontId="119" fillId="0" borderId="0" xfId="0" applyFont="1" applyAlignment="1">
      <alignment horizontal="left" vertical="justify" wrapText="1"/>
    </xf>
    <xf numFmtId="2" fontId="119" fillId="0" borderId="0" xfId="0" applyNumberFormat="1" applyFont="1"/>
    <xf numFmtId="176" fontId="69" fillId="0" borderId="0" xfId="0" applyNumberFormat="1" applyFont="1" applyAlignment="1">
      <alignment horizontal="center" vertical="center"/>
    </xf>
    <xf numFmtId="2" fontId="69" fillId="0" borderId="0" xfId="0" applyNumberFormat="1" applyFont="1" applyAlignment="1">
      <alignment horizontal="center" vertical="center"/>
    </xf>
    <xf numFmtId="169" fontId="69" fillId="0" borderId="0" xfId="0" applyFont="1" applyAlignment="1">
      <alignment horizontal="left" vertical="justify" wrapText="1"/>
    </xf>
    <xf numFmtId="169" fontId="119" fillId="0" borderId="0" xfId="0" applyFont="1" applyAlignment="1">
      <alignment horizontal="justify" vertical="justify" wrapText="1"/>
    </xf>
    <xf numFmtId="2" fontId="119" fillId="0" borderId="0" xfId="0" applyNumberFormat="1" applyFont="1" applyAlignment="1">
      <alignment horizontal="center" vertical="center"/>
    </xf>
    <xf numFmtId="169" fontId="119" fillId="0" borderId="0" xfId="0" applyFont="1" applyAlignment="1">
      <alignment horizontal="center" vertical="center"/>
    </xf>
    <xf numFmtId="169" fontId="119" fillId="0" borderId="0" xfId="0" applyFont="1" applyAlignment="1">
      <alignment horizontal="left" vertical="center"/>
    </xf>
    <xf numFmtId="2" fontId="61" fillId="0" borderId="0" xfId="0" applyNumberFormat="1" applyFont="1"/>
    <xf numFmtId="2" fontId="69" fillId="0" borderId="0" xfId="0" applyNumberFormat="1" applyFont="1"/>
    <xf numFmtId="169" fontId="69" fillId="0" borderId="0" xfId="0" applyFont="1" applyAlignment="1">
      <alignment horizontal="center" vertical="center"/>
    </xf>
    <xf numFmtId="169" fontId="69" fillId="0" borderId="0" xfId="0" applyFont="1" applyAlignment="1">
      <alignment horizontal="justify" vertical="justify" wrapText="1"/>
    </xf>
    <xf numFmtId="2" fontId="159" fillId="0" borderId="0" xfId="0" applyNumberFormat="1" applyFont="1"/>
    <xf numFmtId="169" fontId="119" fillId="0" borderId="0" xfId="0" applyFont="1" applyAlignment="1">
      <alignment horizontal="right"/>
    </xf>
    <xf numFmtId="2" fontId="119" fillId="0" borderId="0" xfId="0" quotePrefix="1" applyNumberFormat="1" applyFont="1"/>
    <xf numFmtId="2" fontId="119" fillId="0" borderId="0" xfId="0" applyNumberFormat="1" applyFont="1" applyAlignment="1">
      <alignment horizontal="right" vertical="center"/>
    </xf>
    <xf numFmtId="169" fontId="69" fillId="0" borderId="0" xfId="0" applyFont="1" applyAlignment="1">
      <alignment wrapText="1"/>
    </xf>
    <xf numFmtId="169" fontId="119" fillId="0" borderId="0" xfId="0" applyFont="1" applyAlignment="1">
      <alignment wrapText="1"/>
    </xf>
    <xf numFmtId="169" fontId="119" fillId="0" borderId="0" xfId="0" applyFont="1" applyAlignment="1">
      <alignment horizontal="right" wrapText="1"/>
    </xf>
    <xf numFmtId="169" fontId="69" fillId="0" borderId="0" xfId="0" applyFont="1" applyAlignment="1">
      <alignment horizontal="left" wrapText="1"/>
    </xf>
    <xf numFmtId="169" fontId="137" fillId="0" borderId="0" xfId="0" applyFont="1" applyAlignment="1">
      <alignment horizontal="center" vertical="center"/>
    </xf>
    <xf numFmtId="172" fontId="92" fillId="0" borderId="0" xfId="0" applyNumberFormat="1" applyFont="1" applyAlignment="1">
      <alignment horizontal="center"/>
    </xf>
    <xf numFmtId="169" fontId="114" fillId="0" borderId="0" xfId="0" applyFont="1" applyAlignment="1">
      <alignment horizontal="right" vertical="top"/>
    </xf>
    <xf numFmtId="169" fontId="88" fillId="0" borderId="0" xfId="0" applyFont="1" applyAlignment="1">
      <alignment horizontal="justify" vertical="top" wrapText="1"/>
    </xf>
    <xf numFmtId="170" fontId="119" fillId="0" borderId="0" xfId="0" applyNumberFormat="1" applyFont="1" applyAlignment="1">
      <alignment vertical="top"/>
    </xf>
    <xf numFmtId="172" fontId="119" fillId="0" borderId="0" xfId="0" applyNumberFormat="1" applyFont="1"/>
    <xf numFmtId="169" fontId="60" fillId="0" borderId="0" xfId="0" applyFont="1" applyAlignment="1">
      <alignment horizontal="fill" vertical="top"/>
    </xf>
    <xf numFmtId="169" fontId="60" fillId="0" borderId="0" xfId="0" applyFont="1" applyAlignment="1">
      <alignment horizontal="fill" vertical="top" wrapText="1"/>
    </xf>
    <xf numFmtId="172" fontId="100" fillId="0" borderId="0" xfId="0" applyNumberFormat="1" applyFont="1" applyAlignment="1">
      <alignment vertical="top"/>
    </xf>
    <xf numFmtId="169" fontId="89" fillId="0" borderId="0" xfId="0" applyFont="1" applyAlignment="1">
      <alignment wrapText="1"/>
    </xf>
    <xf numFmtId="169" fontId="89" fillId="0" borderId="0" xfId="0" quotePrefix="1" applyFont="1" applyAlignment="1">
      <alignment vertical="top"/>
    </xf>
    <xf numFmtId="169" fontId="89" fillId="0" borderId="0" xfId="0" quotePrefix="1" applyFont="1"/>
    <xf numFmtId="172" fontId="62" fillId="0" borderId="0" xfId="0" applyNumberFormat="1" applyFont="1" applyAlignment="1">
      <alignment vertical="top"/>
    </xf>
    <xf numFmtId="170" fontId="62" fillId="0" borderId="0" xfId="0" applyNumberFormat="1" applyFont="1"/>
    <xf numFmtId="170" fontId="60" fillId="0" borderId="0" xfId="0" applyNumberFormat="1" applyFont="1" applyAlignment="1">
      <alignment vertical="top"/>
    </xf>
    <xf numFmtId="172" fontId="60" fillId="0" borderId="0" xfId="0" applyNumberFormat="1" applyFont="1" applyAlignment="1">
      <alignment vertical="top"/>
    </xf>
    <xf numFmtId="170" fontId="119" fillId="0" borderId="0" xfId="0" applyNumberFormat="1" applyFont="1"/>
    <xf numFmtId="169" fontId="76" fillId="0" borderId="0" xfId="0" applyFont="1" applyAlignment="1">
      <alignment horizontal="left" vertical="top"/>
    </xf>
    <xf numFmtId="169" fontId="60" fillId="9" borderId="0" xfId="0" applyFont="1" applyFill="1" applyAlignment="1">
      <alignment wrapText="1"/>
    </xf>
    <xf numFmtId="169" fontId="111" fillId="12" borderId="0" xfId="0" applyFont="1" applyFill="1" applyAlignment="1">
      <alignment horizontal="left" vertical="top"/>
    </xf>
    <xf numFmtId="169" fontId="64" fillId="8" borderId="0" xfId="0" applyFont="1" applyFill="1" applyAlignment="1">
      <alignment horizontal="left" vertical="top"/>
    </xf>
    <xf numFmtId="169" fontId="64" fillId="13" borderId="0" xfId="0" applyFont="1" applyFill="1" applyAlignment="1">
      <alignment horizontal="left" vertical="top"/>
    </xf>
    <xf numFmtId="169" fontId="118" fillId="0" borderId="0" xfId="0" applyFont="1" applyAlignment="1">
      <alignment horizontal="left" vertical="top"/>
    </xf>
    <xf numFmtId="169" fontId="160" fillId="0" borderId="0" xfId="0" applyFont="1" applyAlignment="1">
      <alignment horizontal="left"/>
    </xf>
    <xf numFmtId="169" fontId="69" fillId="0" borderId="0" xfId="0" quotePrefix="1" applyFont="1" applyAlignment="1">
      <alignment horizontal="right"/>
    </xf>
    <xf numFmtId="169" fontId="160" fillId="0" borderId="0" xfId="0" applyFont="1" applyAlignment="1">
      <alignment horizontal="fill"/>
    </xf>
    <xf numFmtId="169" fontId="119" fillId="0" borderId="0" xfId="0" applyFont="1" applyAlignment="1">
      <alignment horizontal="right" indent="2"/>
    </xf>
    <xf numFmtId="169" fontId="161" fillId="0" borderId="0" xfId="0" applyFont="1"/>
    <xf numFmtId="170" fontId="119" fillId="0" borderId="0" xfId="0" applyNumberFormat="1" applyFont="1" applyAlignment="1">
      <alignment horizontal="center"/>
    </xf>
    <xf numFmtId="169" fontId="119" fillId="9" borderId="0" xfId="0" applyFont="1" applyFill="1" applyAlignment="1">
      <alignment horizontal="left"/>
    </xf>
    <xf numFmtId="169" fontId="119" fillId="9" borderId="0" xfId="0" applyFont="1" applyFill="1" applyAlignment="1">
      <alignment horizontal="center"/>
    </xf>
    <xf numFmtId="169" fontId="119" fillId="9" borderId="0" xfId="0" applyFont="1" applyFill="1"/>
    <xf numFmtId="169" fontId="131" fillId="9" borderId="0" xfId="0" applyFont="1" applyFill="1" applyAlignment="1">
      <alignment horizontal="right"/>
    </xf>
    <xf numFmtId="169" fontId="131" fillId="0" borderId="0" xfId="0" applyFont="1" applyAlignment="1">
      <alignment horizontal="right"/>
    </xf>
    <xf numFmtId="169" fontId="119" fillId="0" borderId="0" xfId="0" applyFont="1" applyAlignment="1">
      <alignment horizontal="left" vertical="top" wrapText="1"/>
    </xf>
    <xf numFmtId="169" fontId="119" fillId="0" borderId="0" xfId="0" applyFont="1" applyAlignment="1">
      <alignment horizontal="left" vertical="top"/>
    </xf>
    <xf numFmtId="0" fontId="119" fillId="0" borderId="0" xfId="0" applyNumberFormat="1" applyFont="1"/>
    <xf numFmtId="169" fontId="119" fillId="0" borderId="0" xfId="0" quotePrefix="1" applyFont="1"/>
    <xf numFmtId="0" fontId="119" fillId="0" borderId="0" xfId="0" applyNumberFormat="1" applyFont="1" applyAlignment="1">
      <alignment wrapText="1"/>
    </xf>
    <xf numFmtId="169" fontId="163" fillId="0" borderId="0" xfId="0" applyFont="1"/>
    <xf numFmtId="0" fontId="163" fillId="0" borderId="0" xfId="0" applyNumberFormat="1" applyFont="1" applyAlignment="1">
      <alignment vertical="center"/>
    </xf>
    <xf numFmtId="0" fontId="163" fillId="0" borderId="0" xfId="0" applyNumberFormat="1" applyFont="1"/>
    <xf numFmtId="0" fontId="163" fillId="0" borderId="0" xfId="0" applyNumberFormat="1" applyFont="1" applyAlignment="1">
      <alignment horizontal="right" vertical="center"/>
    </xf>
    <xf numFmtId="169" fontId="163" fillId="0" borderId="0" xfId="0" applyNumberFormat="1" applyFont="1" applyAlignment="1">
      <alignment horizontal="right" vertical="center"/>
    </xf>
    <xf numFmtId="0" fontId="165" fillId="0" borderId="0" xfId="0" applyNumberFormat="1" applyFont="1"/>
    <xf numFmtId="0" fontId="163" fillId="0" borderId="1" xfId="0" applyNumberFormat="1" applyFont="1" applyBorder="1" applyAlignment="1">
      <alignment horizontal="center" vertical="top"/>
    </xf>
    <xf numFmtId="0" fontId="163" fillId="0" borderId="1" xfId="0" applyNumberFormat="1" applyFont="1" applyBorder="1"/>
    <xf numFmtId="0" fontId="164" fillId="0" borderId="1" xfId="0" applyNumberFormat="1" applyFont="1" applyBorder="1" applyAlignment="1">
      <alignment horizontal="center" vertical="top"/>
    </xf>
    <xf numFmtId="0" fontId="164" fillId="0" borderId="0" xfId="0" applyNumberFormat="1" applyFont="1"/>
    <xf numFmtId="16" fontId="163" fillId="0" borderId="9" xfId="0" applyNumberFormat="1" applyFont="1" applyBorder="1" applyAlignment="1">
      <alignment vertical="top" wrapText="1"/>
    </xf>
    <xf numFmtId="0" fontId="163" fillId="0" borderId="3" xfId="0" applyNumberFormat="1" applyFont="1" applyBorder="1" applyAlignment="1">
      <alignment vertical="top" wrapText="1"/>
    </xf>
    <xf numFmtId="0" fontId="163" fillId="0" borderId="10" xfId="0" applyNumberFormat="1" applyFont="1" applyBorder="1" applyAlignment="1">
      <alignment vertical="top" wrapText="1"/>
    </xf>
    <xf numFmtId="0" fontId="163" fillId="0" borderId="1" xfId="0" applyNumberFormat="1" applyFont="1" applyBorder="1" applyAlignment="1"/>
    <xf numFmtId="2" fontId="163" fillId="0" borderId="1" xfId="0" applyNumberFormat="1" applyFont="1" applyBorder="1"/>
    <xf numFmtId="2" fontId="164" fillId="0" borderId="1" xfId="0" applyNumberFormat="1" applyFont="1" applyBorder="1" applyAlignment="1">
      <alignment horizontal="right"/>
    </xf>
    <xf numFmtId="2" fontId="163" fillId="0" borderId="0" xfId="0" applyNumberFormat="1" applyFont="1"/>
    <xf numFmtId="2" fontId="164" fillId="0" borderId="1" xfId="0" applyNumberFormat="1" applyFont="1" applyBorder="1"/>
    <xf numFmtId="0" fontId="163" fillId="0" borderId="1" xfId="0" applyNumberFormat="1" applyFont="1" applyBorder="1" applyAlignment="1">
      <alignment wrapText="1"/>
    </xf>
    <xf numFmtId="0" fontId="164" fillId="0" borderId="1" xfId="0" applyNumberFormat="1" applyFont="1" applyBorder="1" applyAlignment="1"/>
    <xf numFmtId="0" fontId="168" fillId="0" borderId="0" xfId="0" applyNumberFormat="1" applyFont="1"/>
    <xf numFmtId="2" fontId="168" fillId="0" borderId="0" xfId="0" applyNumberFormat="1" applyFont="1"/>
    <xf numFmtId="0" fontId="168" fillId="0" borderId="1" xfId="0" applyNumberFormat="1" applyFont="1" applyBorder="1" applyAlignment="1">
      <alignment vertical="top" wrapText="1"/>
    </xf>
    <xf numFmtId="0" fontId="168" fillId="0" borderId="1" xfId="0" applyNumberFormat="1" applyFont="1" applyBorder="1" applyAlignment="1"/>
    <xf numFmtId="0" fontId="168" fillId="0" borderId="1" xfId="0" applyNumberFormat="1" applyFont="1" applyBorder="1"/>
    <xf numFmtId="2" fontId="168" fillId="0" borderId="1" xfId="0" applyNumberFormat="1" applyFont="1" applyBorder="1"/>
    <xf numFmtId="0" fontId="169" fillId="0" borderId="1" xfId="0" applyNumberFormat="1" applyFont="1" applyBorder="1" applyAlignment="1"/>
    <xf numFmtId="2" fontId="169" fillId="0" borderId="1" xfId="0" applyNumberFormat="1" applyFont="1" applyBorder="1" applyAlignment="1">
      <alignment horizontal="right"/>
    </xf>
    <xf numFmtId="2" fontId="169" fillId="0" borderId="1" xfId="0" applyNumberFormat="1" applyFont="1" applyBorder="1"/>
    <xf numFmtId="170" fontId="168" fillId="0" borderId="1" xfId="0" applyNumberFormat="1" applyFont="1" applyBorder="1" applyAlignment="1">
      <alignment horizontal="center" vertical="center"/>
    </xf>
    <xf numFmtId="169" fontId="168" fillId="0" borderId="0" xfId="0" applyFont="1" applyBorder="1"/>
    <xf numFmtId="169" fontId="27" fillId="0" borderId="0" xfId="0" applyFont="1" applyBorder="1"/>
    <xf numFmtId="169" fontId="168" fillId="0" borderId="1" xfId="0" applyNumberFormat="1" applyFont="1" applyBorder="1" applyAlignment="1">
      <alignment horizontal="left" vertical="center" wrapText="1"/>
    </xf>
    <xf numFmtId="169" fontId="168" fillId="0" borderId="1" xfId="0" applyNumberFormat="1" applyFont="1" applyBorder="1" applyAlignment="1">
      <alignment horizontal="right" vertical="center"/>
    </xf>
    <xf numFmtId="169" fontId="168" fillId="0" borderId="0" xfId="0" applyFont="1" applyBorder="1" applyAlignment="1">
      <alignment horizontal="left" vertical="center"/>
    </xf>
    <xf numFmtId="169" fontId="169" fillId="0" borderId="1" xfId="0" applyNumberFormat="1" applyFont="1" applyBorder="1" applyAlignment="1">
      <alignment horizontal="right" vertical="center"/>
    </xf>
    <xf numFmtId="0" fontId="171" fillId="0" borderId="0" xfId="0" applyNumberFormat="1" applyFont="1"/>
    <xf numFmtId="2" fontId="171" fillId="0" borderId="0" xfId="0" applyNumberFormat="1" applyFont="1"/>
    <xf numFmtId="0" fontId="171" fillId="0" borderId="1" xfId="0" applyNumberFormat="1" applyFont="1" applyBorder="1" applyAlignment="1"/>
    <xf numFmtId="0" fontId="171" fillId="0" borderId="1" xfId="0" applyNumberFormat="1" applyFont="1" applyBorder="1"/>
    <xf numFmtId="2" fontId="171" fillId="0" borderId="1" xfId="0" applyNumberFormat="1" applyFont="1" applyBorder="1"/>
    <xf numFmtId="0" fontId="171" fillId="0" borderId="1" xfId="0" applyNumberFormat="1" applyFont="1" applyBorder="1" applyAlignment="1">
      <alignment wrapText="1"/>
    </xf>
    <xf numFmtId="0" fontId="172" fillId="0" borderId="1" xfId="0" applyNumberFormat="1" applyFont="1" applyBorder="1" applyAlignment="1"/>
    <xf numFmtId="2" fontId="172" fillId="0" borderId="1" xfId="0" applyNumberFormat="1" applyFont="1" applyBorder="1" applyAlignment="1">
      <alignment horizontal="right"/>
    </xf>
    <xf numFmtId="2" fontId="172" fillId="0" borderId="1" xfId="0" applyNumberFormat="1" applyFont="1" applyBorder="1"/>
    <xf numFmtId="170" fontId="171" fillId="0" borderId="1" xfId="56" quotePrefix="1" applyNumberFormat="1" applyFont="1" applyBorder="1" applyAlignment="1">
      <alignment horizontal="center" vertical="center" wrapText="1"/>
    </xf>
    <xf numFmtId="0" fontId="171" fillId="0" borderId="1" xfId="56" applyNumberFormat="1" applyFont="1" applyBorder="1" applyAlignment="1">
      <alignment horizontal="right" vertical="center" wrapText="1"/>
    </xf>
    <xf numFmtId="2" fontId="171" fillId="0" borderId="1" xfId="56" applyNumberFormat="1" applyFont="1" applyBorder="1" applyAlignment="1">
      <alignment vertical="center" wrapText="1"/>
    </xf>
    <xf numFmtId="169" fontId="171" fillId="0" borderId="1" xfId="56" applyNumberFormat="1" applyFont="1" applyBorder="1" applyAlignment="1">
      <alignment horizontal="left" vertical="center" wrapText="1"/>
    </xf>
    <xf numFmtId="169" fontId="171" fillId="0" borderId="0" xfId="0" applyFont="1" applyBorder="1"/>
    <xf numFmtId="170" fontId="171" fillId="0" borderId="1" xfId="0" applyNumberFormat="1" applyFont="1" applyBorder="1" applyAlignment="1">
      <alignment horizontal="center" vertical="center"/>
    </xf>
    <xf numFmtId="169" fontId="171" fillId="0" borderId="1" xfId="0" applyNumberFormat="1" applyFont="1" applyBorder="1" applyAlignment="1">
      <alignment horizontal="left" vertical="center" wrapText="1"/>
    </xf>
    <xf numFmtId="169" fontId="171" fillId="0" borderId="1" xfId="0" applyNumberFormat="1" applyFont="1" applyBorder="1" applyAlignment="1">
      <alignment horizontal="right" vertical="center"/>
    </xf>
    <xf numFmtId="169" fontId="171" fillId="0" borderId="1" xfId="0" applyNumberFormat="1" applyFont="1" applyBorder="1" applyAlignment="1">
      <alignment vertical="center"/>
    </xf>
    <xf numFmtId="169" fontId="171" fillId="0" borderId="0" xfId="0" applyFont="1" applyBorder="1" applyAlignment="1">
      <alignment horizontal="left" vertical="center"/>
    </xf>
    <xf numFmtId="169" fontId="172" fillId="0" borderId="1" xfId="0" applyNumberFormat="1" applyFont="1" applyBorder="1" applyAlignment="1">
      <alignment horizontal="right" vertical="center"/>
    </xf>
    <xf numFmtId="169" fontId="172" fillId="0" borderId="1" xfId="0" applyNumberFormat="1" applyFont="1" applyBorder="1" applyAlignment="1">
      <alignment vertical="center"/>
    </xf>
    <xf numFmtId="169" fontId="171" fillId="0" borderId="1" xfId="0" applyFont="1" applyBorder="1" applyAlignment="1">
      <alignment horizontal="left" vertical="center"/>
    </xf>
    <xf numFmtId="176" fontId="163" fillId="0" borderId="0" xfId="0" applyNumberFormat="1" applyFont="1"/>
    <xf numFmtId="0" fontId="26" fillId="0" borderId="0" xfId="0" applyNumberFormat="1" applyFont="1"/>
    <xf numFmtId="0" fontId="26" fillId="0" borderId="1" xfId="0" applyNumberFormat="1" applyFont="1" applyBorder="1"/>
    <xf numFmtId="2" fontId="26" fillId="0" borderId="1" xfId="0" applyNumberFormat="1" applyFont="1" applyBorder="1"/>
    <xf numFmtId="176" fontId="171" fillId="0" borderId="0" xfId="0" applyNumberFormat="1" applyFont="1"/>
    <xf numFmtId="0" fontId="171" fillId="0" borderId="1" xfId="56" applyNumberFormat="1" applyFont="1" applyBorder="1" applyAlignment="1">
      <alignment horizontal="center" vertical="center" wrapText="1"/>
    </xf>
    <xf numFmtId="0" fontId="175" fillId="0" borderId="0" xfId="56" applyFont="1" applyAlignment="1">
      <alignment horizontal="left" vertical="center" wrapText="1"/>
    </xf>
    <xf numFmtId="0" fontId="171" fillId="0" borderId="0" xfId="56" applyFont="1" applyAlignment="1">
      <alignment wrapText="1"/>
    </xf>
    <xf numFmtId="0" fontId="171" fillId="0" borderId="1" xfId="56" quotePrefix="1" applyNumberFormat="1" applyFont="1" applyBorder="1" applyAlignment="1">
      <alignment horizontal="center" vertical="center" wrapText="1"/>
    </xf>
    <xf numFmtId="2" fontId="171" fillId="0" borderId="1" xfId="56" applyNumberFormat="1" applyFont="1" applyBorder="1" applyAlignment="1">
      <alignment horizontal="center" vertical="center" wrapText="1"/>
    </xf>
    <xf numFmtId="0" fontId="171" fillId="0" borderId="1" xfId="56" applyFont="1" applyBorder="1" applyAlignment="1">
      <alignment horizontal="center" vertical="center" wrapText="1"/>
    </xf>
    <xf numFmtId="2" fontId="171" fillId="0" borderId="1" xfId="56" applyNumberFormat="1" applyFont="1" applyBorder="1" applyAlignment="1">
      <alignment horizontal="right" vertical="center" wrapText="1"/>
    </xf>
    <xf numFmtId="0" fontId="171" fillId="0" borderId="1" xfId="56" applyNumberFormat="1" applyFont="1" applyBorder="1" applyAlignment="1">
      <alignment horizontal="center" vertical="center"/>
    </xf>
    <xf numFmtId="2" fontId="175" fillId="0" borderId="14" xfId="56" applyNumberFormat="1" applyFont="1" applyBorder="1" applyAlignment="1">
      <alignment horizontal="left" vertical="center"/>
    </xf>
    <xf numFmtId="0" fontId="168" fillId="0" borderId="1" xfId="0" applyNumberFormat="1" applyFont="1" applyBorder="1" applyAlignment="1">
      <alignment wrapText="1"/>
    </xf>
    <xf numFmtId="0" fontId="164" fillId="0" borderId="1" xfId="0" applyNumberFormat="1" applyFont="1" applyBorder="1" applyAlignment="1">
      <alignment horizontal="left" vertical="top" wrapText="1"/>
    </xf>
    <xf numFmtId="0" fontId="163" fillId="0" borderId="1" xfId="59" applyFont="1" applyBorder="1" applyAlignment="1">
      <alignment horizontal="justify" vertical="top"/>
    </xf>
    <xf numFmtId="0" fontId="163" fillId="0" borderId="1" xfId="59" applyFont="1" applyBorder="1" applyAlignment="1">
      <alignment horizontal="center" vertical="top"/>
    </xf>
    <xf numFmtId="177" fontId="163" fillId="0" borderId="1" xfId="59" applyNumberFormat="1" applyFont="1" applyBorder="1" applyAlignment="1">
      <alignment horizontal="right" vertical="top"/>
    </xf>
    <xf numFmtId="0" fontId="163" fillId="0" borderId="1" xfId="59" applyFont="1" applyBorder="1" applyAlignment="1">
      <alignment horizontal="right" vertical="top"/>
    </xf>
    <xf numFmtId="2" fontId="163" fillId="0" borderId="1" xfId="59" applyNumberFormat="1" applyFont="1" applyBorder="1" applyAlignment="1">
      <alignment horizontal="right" vertical="top"/>
    </xf>
    <xf numFmtId="4" fontId="26" fillId="0" borderId="18" xfId="59" applyNumberFormat="1" applyFont="1" applyBorder="1" applyAlignment="1">
      <alignment horizontal="right" vertical="top"/>
    </xf>
    <xf numFmtId="2" fontId="176" fillId="0" borderId="1" xfId="59" applyNumberFormat="1" applyFont="1" applyBorder="1" applyAlignment="1">
      <alignment horizontal="right" vertical="top"/>
    </xf>
    <xf numFmtId="0" fontId="51" fillId="0" borderId="0" xfId="0" applyNumberFormat="1" applyFont="1"/>
    <xf numFmtId="177" fontId="163" fillId="0" borderId="1" xfId="0" applyNumberFormat="1" applyFont="1" applyBorder="1"/>
    <xf numFmtId="169" fontId="163" fillId="0" borderId="1" xfId="0" applyFont="1" applyBorder="1"/>
    <xf numFmtId="2" fontId="177" fillId="0" borderId="14" xfId="0" applyNumberFormat="1" applyFont="1" applyBorder="1"/>
    <xf numFmtId="0" fontId="163" fillId="0" borderId="1" xfId="0" applyNumberFormat="1" applyFont="1" applyBorder="1" applyAlignment="1">
      <alignment vertical="center"/>
    </xf>
    <xf numFmtId="0" fontId="163" fillId="0" borderId="1" xfId="0" applyNumberFormat="1" applyFont="1" applyBorder="1" applyAlignment="1">
      <alignment horizontal="center"/>
    </xf>
    <xf numFmtId="2" fontId="163" fillId="0" borderId="14" xfId="0" applyNumberFormat="1" applyFont="1" applyBorder="1"/>
    <xf numFmtId="0" fontId="177" fillId="0" borderId="1" xfId="0" applyNumberFormat="1" applyFont="1" applyBorder="1"/>
    <xf numFmtId="2" fontId="177" fillId="0" borderId="1" xfId="0" applyNumberFormat="1" applyFont="1" applyBorder="1"/>
    <xf numFmtId="0" fontId="163" fillId="0" borderId="1" xfId="0" applyNumberFormat="1" applyFont="1" applyBorder="1" applyAlignment="1">
      <alignment horizontal="center" vertical="center"/>
    </xf>
    <xf numFmtId="0" fontId="177" fillId="0" borderId="1" xfId="0" applyNumberFormat="1" applyFont="1" applyBorder="1" applyAlignment="1">
      <alignment horizontal="right"/>
    </xf>
    <xf numFmtId="169" fontId="178" fillId="0" borderId="1" xfId="0" applyFont="1" applyBorder="1"/>
    <xf numFmtId="169" fontId="51" fillId="0" borderId="0" xfId="0" applyFont="1"/>
    <xf numFmtId="169" fontId="171" fillId="0" borderId="1" xfId="0" applyFont="1" applyBorder="1"/>
    <xf numFmtId="169" fontId="52" fillId="0" borderId="1" xfId="0" applyFont="1" applyBorder="1"/>
    <xf numFmtId="169" fontId="51" fillId="0" borderId="1" xfId="0" applyFont="1" applyBorder="1"/>
    <xf numFmtId="169" fontId="60" fillId="0" borderId="0" xfId="0" applyFont="1" applyAlignment="1">
      <alignment horizontal="left" vertical="top" wrapText="1"/>
    </xf>
    <xf numFmtId="169" fontId="62" fillId="0" borderId="0" xfId="0" applyFont="1" applyAlignment="1">
      <alignment horizontal="center"/>
    </xf>
    <xf numFmtId="169" fontId="60" fillId="0" borderId="0" xfId="0" applyFont="1" applyAlignment="1">
      <alignment horizontal="center"/>
    </xf>
    <xf numFmtId="169" fontId="62" fillId="0" borderId="0" xfId="0" applyFont="1" applyAlignment="1">
      <alignment horizontal="right"/>
    </xf>
    <xf numFmtId="169" fontId="0" fillId="0" borderId="0" xfId="0" applyFont="1"/>
    <xf numFmtId="169" fontId="60" fillId="0" borderId="11" xfId="0" applyFont="1" applyBorder="1" applyAlignment="1">
      <alignment horizontal="right"/>
    </xf>
    <xf numFmtId="169" fontId="60" fillId="0" borderId="12" xfId="0" applyFont="1" applyBorder="1" applyAlignment="1">
      <alignment horizontal="right"/>
    </xf>
    <xf numFmtId="169" fontId="118" fillId="0" borderId="0" xfId="0" applyFont="1" applyBorder="1" applyAlignment="1">
      <alignment horizontal="right"/>
    </xf>
    <xf numFmtId="169" fontId="60" fillId="0" borderId="0" xfId="0" applyFont="1" applyBorder="1" applyAlignment="1">
      <alignment horizontal="right"/>
    </xf>
    <xf numFmtId="169" fontId="107" fillId="8" borderId="0" xfId="0" applyFont="1" applyFill="1"/>
    <xf numFmtId="169" fontId="65" fillId="8" borderId="0" xfId="0" applyFont="1" applyFill="1" applyAlignment="1">
      <alignment horizontal="left"/>
    </xf>
    <xf numFmtId="169" fontId="65" fillId="8" borderId="0" xfId="0" applyFont="1" applyFill="1" applyAlignment="1">
      <alignment horizontal="right"/>
    </xf>
    <xf numFmtId="169" fontId="163" fillId="0" borderId="0" xfId="0" applyFont="1" applyAlignment="1">
      <alignment vertical="center"/>
    </xf>
    <xf numFmtId="1" fontId="164" fillId="0" borderId="0" xfId="0" applyNumberFormat="1" applyFont="1" applyAlignment="1">
      <alignment horizontal="center" vertical="center"/>
    </xf>
    <xf numFmtId="169" fontId="164" fillId="0" borderId="0" xfId="0" applyFont="1" applyAlignment="1">
      <alignment horizontal="right" vertical="center"/>
    </xf>
    <xf numFmtId="169" fontId="164" fillId="0" borderId="0" xfId="0" applyFont="1" applyAlignment="1">
      <alignment vertical="center"/>
    </xf>
    <xf numFmtId="169" fontId="164" fillId="0" borderId="0" xfId="0" applyFont="1" applyFill="1" applyAlignment="1">
      <alignment vertical="center"/>
    </xf>
    <xf numFmtId="169" fontId="164" fillId="0" borderId="0" xfId="0" applyFont="1" applyAlignment="1">
      <alignment horizontal="center" vertical="center"/>
    </xf>
    <xf numFmtId="0" fontId="164" fillId="0" borderId="0" xfId="50" applyFont="1" applyBorder="1" applyAlignment="1">
      <alignment vertical="center" wrapText="1"/>
    </xf>
    <xf numFmtId="1" fontId="163" fillId="0" borderId="0" xfId="50" applyNumberFormat="1" applyFont="1" applyBorder="1" applyAlignment="1">
      <alignment horizontal="center" vertical="center" wrapText="1"/>
    </xf>
    <xf numFmtId="2" fontId="163" fillId="0" borderId="0" xfId="50" applyNumberFormat="1" applyFont="1" applyBorder="1" applyAlignment="1">
      <alignment horizontal="right" vertical="center" wrapText="1"/>
    </xf>
    <xf numFmtId="2" fontId="163" fillId="0" borderId="0" xfId="50" applyNumberFormat="1" applyFont="1" applyBorder="1" applyAlignment="1">
      <alignment vertical="center" wrapText="1"/>
    </xf>
    <xf numFmtId="2" fontId="164" fillId="0" borderId="0" xfId="50" applyNumberFormat="1" applyFont="1" applyFill="1" applyBorder="1" applyAlignment="1">
      <alignment horizontal="center" vertical="center" wrapText="1"/>
    </xf>
    <xf numFmtId="169" fontId="163" fillId="0" borderId="0" xfId="0" applyFont="1" applyBorder="1" applyAlignment="1">
      <alignment horizontal="center" vertical="center"/>
    </xf>
    <xf numFmtId="169" fontId="164" fillId="0" borderId="0" xfId="0" applyFont="1" applyBorder="1" applyAlignment="1">
      <alignment horizontal="right" vertical="center"/>
    </xf>
    <xf numFmtId="169" fontId="163" fillId="0" borderId="0" xfId="0" applyFont="1" applyBorder="1" applyAlignment="1">
      <alignment vertical="center"/>
    </xf>
    <xf numFmtId="2" fontId="164" fillId="0" borderId="0" xfId="50" applyNumberFormat="1" applyFont="1" applyBorder="1" applyAlignment="1">
      <alignment horizontal="left" vertical="center" wrapText="1"/>
    </xf>
    <xf numFmtId="2" fontId="164" fillId="0" borderId="0" xfId="50" applyNumberFormat="1" applyFont="1" applyBorder="1" applyAlignment="1">
      <alignment horizontal="center" vertical="center"/>
    </xf>
    <xf numFmtId="2" fontId="163" fillId="0" borderId="0" xfId="50" applyNumberFormat="1" applyFont="1" applyFill="1" applyBorder="1" applyAlignment="1">
      <alignment vertical="center" wrapText="1"/>
    </xf>
    <xf numFmtId="169" fontId="163" fillId="0" borderId="0" xfId="0" applyFont="1" applyBorder="1" applyAlignment="1">
      <alignment horizontal="right" vertical="center"/>
    </xf>
    <xf numFmtId="1" fontId="163" fillId="0" borderId="0" xfId="0" applyNumberFormat="1" applyFont="1" applyBorder="1" applyAlignment="1">
      <alignment horizontal="center" vertical="center"/>
    </xf>
    <xf numFmtId="169" fontId="163" fillId="0" borderId="0" xfId="0" applyFont="1" applyFill="1" applyBorder="1" applyAlignment="1">
      <alignment vertical="center"/>
    </xf>
    <xf numFmtId="1" fontId="163" fillId="0" borderId="0" xfId="0" applyNumberFormat="1" applyFont="1" applyAlignment="1">
      <alignment horizontal="center" vertical="center"/>
    </xf>
    <xf numFmtId="169" fontId="163" fillId="0" borderId="0" xfId="0" applyFont="1" applyAlignment="1">
      <alignment horizontal="right" vertical="center"/>
    </xf>
    <xf numFmtId="169" fontId="163" fillId="0" borderId="0" xfId="0" applyFont="1" applyFill="1" applyAlignment="1">
      <alignment vertical="center"/>
    </xf>
    <xf numFmtId="169" fontId="163" fillId="0" borderId="0" xfId="0" applyFont="1" applyAlignment="1">
      <alignment horizontal="center" vertical="center"/>
    </xf>
    <xf numFmtId="169" fontId="163" fillId="0" borderId="1" xfId="0" applyFont="1" applyFill="1" applyBorder="1" applyAlignment="1">
      <alignment vertical="center" wrapText="1"/>
    </xf>
    <xf numFmtId="169" fontId="62" fillId="9" borderId="0" xfId="0" applyFont="1" applyFill="1" applyAlignment="1">
      <alignment horizontal="right"/>
    </xf>
    <xf numFmtId="169" fontId="60" fillId="9" borderId="0" xfId="0" applyFont="1" applyFill="1" applyAlignment="1">
      <alignment horizontal="right"/>
    </xf>
    <xf numFmtId="169" fontId="60" fillId="9" borderId="0" xfId="0" applyFont="1" applyFill="1" applyAlignment="1">
      <alignment horizontal="right" vertical="center"/>
    </xf>
    <xf numFmtId="0" fontId="180" fillId="0" borderId="0" xfId="60" applyFont="1" applyFill="1" applyBorder="1" applyAlignment="1">
      <alignment horizontal="center" vertical="top"/>
    </xf>
    <xf numFmtId="0" fontId="180" fillId="0" borderId="0" xfId="60" applyFont="1" applyFill="1" applyBorder="1" applyAlignment="1">
      <alignment horizontal="left" vertical="top"/>
    </xf>
    <xf numFmtId="0" fontId="181" fillId="0" borderId="0" xfId="60" applyFont="1" applyFill="1" applyBorder="1" applyAlignment="1">
      <alignment horizontal="left" vertical="top"/>
    </xf>
    <xf numFmtId="169" fontId="60" fillId="0" borderId="0" xfId="0" applyFont="1" applyAlignment="1">
      <alignment horizontal="center"/>
    </xf>
    <xf numFmtId="0" fontId="163" fillId="0" borderId="1" xfId="0" applyNumberFormat="1" applyFont="1" applyBorder="1" applyAlignment="1">
      <alignment horizontal="left" vertical="top" wrapText="1"/>
    </xf>
    <xf numFmtId="0" fontId="164" fillId="0" borderId="1" xfId="0" applyNumberFormat="1" applyFont="1" applyBorder="1" applyAlignment="1">
      <alignment horizontal="center"/>
    </xf>
    <xf numFmtId="0" fontId="163" fillId="0" borderId="1" xfId="0" applyNumberFormat="1" applyFont="1" applyBorder="1" applyAlignment="1">
      <alignment horizontal="center" vertical="top" wrapText="1"/>
    </xf>
    <xf numFmtId="0" fontId="163" fillId="0" borderId="1" xfId="0" applyNumberFormat="1" applyFont="1" applyBorder="1" applyAlignment="1">
      <alignment horizontal="center" vertical="top"/>
    </xf>
    <xf numFmtId="0" fontId="168" fillId="0" borderId="1" xfId="0" quotePrefix="1" applyNumberFormat="1" applyFont="1" applyBorder="1" applyAlignment="1">
      <alignment horizontal="center" vertical="top" wrapText="1"/>
    </xf>
    <xf numFmtId="0" fontId="168" fillId="0" borderId="1" xfId="0" applyNumberFormat="1" applyFont="1" applyBorder="1" applyAlignment="1">
      <alignment horizontal="left" vertical="top" wrapText="1"/>
    </xf>
    <xf numFmtId="0" fontId="169" fillId="0" borderId="1" xfId="0" applyNumberFormat="1" applyFont="1" applyBorder="1" applyAlignment="1">
      <alignment horizontal="center"/>
    </xf>
    <xf numFmtId="0" fontId="171" fillId="0" borderId="1" xfId="56" applyNumberFormat="1" applyFont="1" applyBorder="1" applyAlignment="1">
      <alignment horizontal="left" vertical="center" wrapText="1"/>
    </xf>
    <xf numFmtId="169" fontId="52" fillId="0" borderId="1" xfId="0" applyFont="1" applyBorder="1" applyAlignment="1">
      <alignment horizontal="left" vertical="top" wrapText="1"/>
    </xf>
    <xf numFmtId="0" fontId="168" fillId="8" borderId="1" xfId="0" applyNumberFormat="1" applyFont="1" applyFill="1" applyBorder="1" applyAlignment="1"/>
    <xf numFmtId="0" fontId="168" fillId="8" borderId="1" xfId="0" applyNumberFormat="1" applyFont="1" applyFill="1" applyBorder="1"/>
    <xf numFmtId="2" fontId="168" fillId="8" borderId="1" xfId="0" applyNumberFormat="1" applyFont="1" applyFill="1" applyBorder="1"/>
    <xf numFmtId="169" fontId="163" fillId="0" borderId="1" xfId="0" applyFont="1" applyBorder="1" applyAlignment="1">
      <alignment vertical="center"/>
    </xf>
    <xf numFmtId="1" fontId="164" fillId="0" borderId="1" xfId="0" applyNumberFormat="1" applyFont="1" applyBorder="1" applyAlignment="1">
      <alignment horizontal="center" vertical="center" wrapText="1"/>
    </xf>
    <xf numFmtId="169" fontId="164" fillId="0" borderId="1" xfId="0" applyFont="1" applyBorder="1" applyAlignment="1">
      <alignment horizontal="center" vertical="center"/>
    </xf>
    <xf numFmtId="169" fontId="164" fillId="0" borderId="1" xfId="0" applyFont="1" applyFill="1" applyBorder="1" applyAlignment="1">
      <alignment horizontal="center" vertical="center"/>
    </xf>
    <xf numFmtId="169" fontId="164" fillId="0" borderId="1" xfId="0" applyFont="1" applyBorder="1" applyAlignment="1">
      <alignment horizontal="center" vertical="center" wrapText="1"/>
    </xf>
    <xf numFmtId="169" fontId="164" fillId="0" borderId="1" xfId="0" applyFont="1" applyBorder="1" applyAlignment="1">
      <alignment horizontal="right" vertical="center"/>
    </xf>
    <xf numFmtId="1" fontId="163" fillId="0" borderId="1" xfId="0" applyNumberFormat="1" applyFont="1" applyBorder="1" applyAlignment="1">
      <alignment horizontal="center" vertical="center" wrapText="1"/>
    </xf>
    <xf numFmtId="169" fontId="163" fillId="0" borderId="1" xfId="0" applyFont="1" applyBorder="1" applyAlignment="1">
      <alignment horizontal="right" vertical="center"/>
    </xf>
    <xf numFmtId="169" fontId="163" fillId="0" borderId="1" xfId="0" applyFont="1" applyBorder="1" applyAlignment="1">
      <alignment horizontal="left" vertical="center" wrapText="1"/>
    </xf>
    <xf numFmtId="169" fontId="163" fillId="0" borderId="1" xfId="0" applyFont="1" applyFill="1" applyBorder="1" applyAlignment="1">
      <alignment horizontal="right" vertical="center"/>
    </xf>
    <xf numFmtId="169" fontId="163" fillId="0" borderId="1" xfId="0" applyFont="1" applyBorder="1" applyAlignment="1">
      <alignment horizontal="center" vertical="center" wrapText="1"/>
    </xf>
    <xf numFmtId="170" fontId="163" fillId="0" borderId="1" xfId="0" applyNumberFormat="1" applyFont="1" applyBorder="1" applyAlignment="1">
      <alignment horizontal="center" vertical="center" wrapText="1"/>
    </xf>
    <xf numFmtId="2" fontId="163" fillId="0" borderId="1" xfId="50" applyNumberFormat="1" applyFont="1" applyBorder="1" applyAlignment="1">
      <alignment horizontal="right" vertical="center" wrapText="1"/>
    </xf>
    <xf numFmtId="2" fontId="163" fillId="0" borderId="1" xfId="50" applyNumberFormat="1" applyFont="1" applyBorder="1" applyAlignment="1">
      <alignment horizontal="left" vertical="center" wrapText="1"/>
    </xf>
    <xf numFmtId="2" fontId="163" fillId="0" borderId="1" xfId="50" applyNumberFormat="1" applyFont="1" applyFill="1" applyBorder="1" applyAlignment="1">
      <alignment horizontal="right" vertical="center" wrapText="1"/>
    </xf>
    <xf numFmtId="2" fontId="163" fillId="0" borderId="1" xfId="50" applyNumberFormat="1" applyFont="1" applyBorder="1" applyAlignment="1">
      <alignment horizontal="center" vertical="center" wrapText="1"/>
    </xf>
    <xf numFmtId="1" fontId="163" fillId="0" borderId="1" xfId="50" applyNumberFormat="1" applyFont="1" applyBorder="1" applyAlignment="1">
      <alignment horizontal="center" vertical="center" wrapText="1"/>
    </xf>
    <xf numFmtId="169" fontId="163" fillId="0" borderId="1" xfId="0" applyFont="1" applyBorder="1" applyAlignment="1">
      <alignment horizontal="center" vertical="center"/>
    </xf>
    <xf numFmtId="170" fontId="163" fillId="0" borderId="1" xfId="0" applyNumberFormat="1" applyFont="1" applyBorder="1" applyAlignment="1">
      <alignment horizontal="center" vertical="center"/>
    </xf>
    <xf numFmtId="169" fontId="163" fillId="0" borderId="1" xfId="0" applyNumberFormat="1" applyFont="1" applyBorder="1" applyAlignment="1">
      <alignment horizontal="center" vertical="center"/>
    </xf>
    <xf numFmtId="176" fontId="163" fillId="0" borderId="1" xfId="50" applyNumberFormat="1" applyFont="1" applyFill="1" applyBorder="1" applyAlignment="1">
      <alignment horizontal="left" vertical="center" wrapText="1"/>
    </xf>
    <xf numFmtId="2" fontId="163" fillId="0" borderId="1" xfId="50" applyNumberFormat="1" applyFont="1" applyFill="1" applyBorder="1" applyAlignment="1">
      <alignment vertical="center" wrapText="1"/>
    </xf>
    <xf numFmtId="169" fontId="163" fillId="0" borderId="1" xfId="0" applyNumberFormat="1" applyFont="1" applyBorder="1" applyAlignment="1">
      <alignment horizontal="right" vertical="center"/>
    </xf>
    <xf numFmtId="176" fontId="163" fillId="0" borderId="1" xfId="51" applyNumberFormat="1" applyFont="1" applyFill="1" applyBorder="1" applyAlignment="1">
      <alignment horizontal="justify" vertical="center" wrapText="1"/>
    </xf>
    <xf numFmtId="2" fontId="163" fillId="0" borderId="1" xfId="51" applyNumberFormat="1" applyFont="1" applyFill="1" applyBorder="1" applyAlignment="1">
      <alignment vertical="center" wrapText="1"/>
    </xf>
    <xf numFmtId="169" fontId="163" fillId="0" borderId="1" xfId="0" applyFont="1" applyBorder="1" applyAlignment="1">
      <alignment vertical="center" wrapText="1"/>
    </xf>
    <xf numFmtId="176" fontId="164" fillId="0" borderId="1" xfId="50" applyNumberFormat="1" applyFont="1" applyFill="1" applyBorder="1" applyAlignment="1">
      <alignment horizontal="right" vertical="center" wrapText="1"/>
    </xf>
    <xf numFmtId="169" fontId="164" fillId="0" borderId="1" xfId="0" applyNumberFormat="1" applyFont="1" applyBorder="1" applyAlignment="1">
      <alignment horizontal="right" vertical="center"/>
    </xf>
    <xf numFmtId="0" fontId="163" fillId="0" borderId="1" xfId="0" applyNumberFormat="1" applyFont="1" applyBorder="1" applyAlignment="1">
      <alignment vertical="center" wrapText="1"/>
    </xf>
    <xf numFmtId="0" fontId="163" fillId="0" borderId="1" xfId="50" applyFont="1" applyBorder="1" applyAlignment="1">
      <alignment horizontal="left" vertical="center" wrapText="1"/>
    </xf>
    <xf numFmtId="170" fontId="163" fillId="0" borderId="1" xfId="0" applyNumberFormat="1" applyFont="1" applyBorder="1" applyAlignment="1">
      <alignment horizontal="right" vertical="center"/>
    </xf>
    <xf numFmtId="0" fontId="168" fillId="8" borderId="1" xfId="0" applyNumberFormat="1" applyFont="1" applyFill="1" applyBorder="1" applyAlignment="1">
      <alignment wrapText="1"/>
    </xf>
    <xf numFmtId="0" fontId="163" fillId="9" borderId="1" xfId="0" applyNumberFormat="1" applyFont="1" applyFill="1" applyBorder="1"/>
    <xf numFmtId="2" fontId="163" fillId="9" borderId="1" xfId="0" applyNumberFormat="1" applyFont="1" applyFill="1" applyBorder="1"/>
    <xf numFmtId="0" fontId="17" fillId="0" borderId="0" xfId="0" applyNumberFormat="1" applyFont="1" applyAlignment="1">
      <alignment horizontal="center" vertical="center" wrapText="1"/>
    </xf>
    <xf numFmtId="169" fontId="17" fillId="0" borderId="0" xfId="0" applyFont="1" applyAlignment="1">
      <alignment horizontal="center" vertical="center" wrapText="1"/>
    </xf>
    <xf numFmtId="169" fontId="17" fillId="0" borderId="0" xfId="0" applyFont="1" applyAlignment="1">
      <alignment horizontal="center" vertical="center"/>
    </xf>
    <xf numFmtId="0" fontId="20" fillId="0" borderId="0" xfId="0" applyNumberFormat="1" applyFont="1" applyAlignment="1">
      <alignment horizontal="left" vertical="top"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9" fontId="17" fillId="0" borderId="0" xfId="0" applyFont="1" applyAlignment="1">
      <alignment horizontal="left" vertical="center" wrapText="1"/>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169" fontId="60" fillId="0" borderId="0" xfId="0" applyFont="1" applyAlignment="1">
      <alignment horizontal="center" vertical="top" wrapText="1"/>
    </xf>
    <xf numFmtId="169" fontId="68" fillId="0" borderId="0" xfId="0" applyFont="1" applyAlignment="1">
      <alignment horizontal="center" vertical="center"/>
    </xf>
    <xf numFmtId="169" fontId="60" fillId="0" borderId="0" xfId="0" applyFont="1" applyAlignment="1">
      <alignment horizontal="center" vertical="center" wrapText="1"/>
    </xf>
    <xf numFmtId="169" fontId="60" fillId="0" borderId="0" xfId="0" applyFont="1" applyAlignment="1">
      <alignment horizontal="center" vertical="top"/>
    </xf>
    <xf numFmtId="169" fontId="69" fillId="0" borderId="0" xfId="0" applyFont="1" applyAlignment="1">
      <alignment horizontal="center" wrapText="1"/>
    </xf>
    <xf numFmtId="169" fontId="119" fillId="0" borderId="0" xfId="0" applyFont="1" applyAlignment="1">
      <alignment horizontal="center" vertical="center"/>
    </xf>
    <xf numFmtId="2" fontId="119" fillId="0" borderId="0" xfId="0" applyNumberFormat="1" applyFont="1" applyAlignment="1">
      <alignment horizontal="center"/>
    </xf>
    <xf numFmtId="169" fontId="60" fillId="0" borderId="0" xfId="0" applyFont="1" applyAlignment="1">
      <alignment horizontal="left" vertical="top" wrapText="1"/>
    </xf>
    <xf numFmtId="169" fontId="69" fillId="0" borderId="0" xfId="0" applyFont="1" applyAlignment="1">
      <alignment horizontal="center" vertical="center" wrapText="1"/>
    </xf>
    <xf numFmtId="169" fontId="3" fillId="0" borderId="0" xfId="0" applyFont="1" applyAlignment="1">
      <alignment horizontal="center"/>
    </xf>
    <xf numFmtId="169" fontId="8" fillId="0" borderId="0" xfId="0" applyFont="1" applyAlignment="1">
      <alignment horizontal="center"/>
    </xf>
    <xf numFmtId="169" fontId="4" fillId="0" borderId="0" xfId="0" applyFont="1" applyAlignment="1">
      <alignment horizontal="center"/>
    </xf>
    <xf numFmtId="169" fontId="8" fillId="0" borderId="0" xfId="0" applyFont="1" applyAlignment="1">
      <alignment horizontal="left"/>
    </xf>
    <xf numFmtId="0" fontId="39" fillId="0" borderId="0" xfId="0" applyNumberFormat="1" applyFont="1" applyAlignment="1">
      <alignment horizontal="center" vertical="center" wrapText="1"/>
    </xf>
    <xf numFmtId="169" fontId="60" fillId="0" borderId="0" xfId="0" applyFont="1" applyAlignment="1">
      <alignment horizontal="center" wrapText="1"/>
    </xf>
    <xf numFmtId="0" fontId="119" fillId="0" borderId="0" xfId="0" applyNumberFormat="1" applyFont="1" applyAlignment="1">
      <alignment horizontal="center" wrapText="1"/>
    </xf>
    <xf numFmtId="169" fontId="62" fillId="0" borderId="0" xfId="0" applyFont="1" applyAlignment="1">
      <alignment horizontal="right"/>
    </xf>
    <xf numFmtId="171" fontId="60" fillId="0" borderId="0" xfId="0" applyNumberFormat="1" applyFont="1" applyAlignment="1">
      <alignment horizontal="right"/>
    </xf>
    <xf numFmtId="169" fontId="60" fillId="0" borderId="0" xfId="0" applyFont="1" applyAlignment="1">
      <alignment horizontal="center"/>
    </xf>
    <xf numFmtId="169" fontId="60" fillId="0" borderId="0" xfId="0" quotePrefix="1" applyFont="1" applyAlignment="1">
      <alignment horizontal="center"/>
    </xf>
    <xf numFmtId="169" fontId="62" fillId="0" borderId="0" xfId="0" applyFont="1" applyAlignment="1">
      <alignment vertical="top" wrapText="1"/>
    </xf>
    <xf numFmtId="169" fontId="60" fillId="0" borderId="0" xfId="0" applyFont="1" applyAlignment="1">
      <alignment vertical="top"/>
    </xf>
    <xf numFmtId="169" fontId="62" fillId="0" borderId="0" xfId="0" applyFont="1" applyAlignment="1">
      <alignment vertical="top"/>
    </xf>
    <xf numFmtId="169" fontId="60" fillId="11" borderId="0" xfId="0" applyFont="1" applyFill="1" applyAlignment="1">
      <alignment horizontal="left" vertical="top" wrapText="1"/>
    </xf>
    <xf numFmtId="169" fontId="115" fillId="0" borderId="0" xfId="0" applyFont="1" applyAlignment="1">
      <alignment horizontal="center"/>
    </xf>
    <xf numFmtId="169" fontId="60" fillId="10" borderId="0" xfId="0" applyFont="1" applyFill="1" applyAlignment="1">
      <alignment horizontal="left" vertical="top" wrapText="1"/>
    </xf>
    <xf numFmtId="169" fontId="62" fillId="0" borderId="0" xfId="0" applyFont="1" applyAlignment="1">
      <alignment horizontal="left" vertical="top"/>
    </xf>
    <xf numFmtId="169" fontId="62" fillId="0" borderId="0" xfId="0" applyFont="1" applyAlignment="1">
      <alignment horizontal="center"/>
    </xf>
    <xf numFmtId="169" fontId="69" fillId="0" borderId="0" xfId="0" applyFont="1" applyAlignment="1">
      <alignment horizontal="center"/>
    </xf>
    <xf numFmtId="169" fontId="115" fillId="0" borderId="0" xfId="0" applyFont="1" applyAlignment="1">
      <alignment horizontal="center" wrapText="1"/>
    </xf>
    <xf numFmtId="0" fontId="60" fillId="0" borderId="0" xfId="0" applyNumberFormat="1" applyFont="1" applyAlignment="1">
      <alignment horizontal="center"/>
    </xf>
    <xf numFmtId="0" fontId="141" fillId="0" borderId="0" xfId="0" applyNumberFormat="1" applyFont="1" applyAlignment="1">
      <alignment horizontal="center" wrapText="1"/>
    </xf>
    <xf numFmtId="169" fontId="137" fillId="8" borderId="1" xfId="0" applyFont="1" applyFill="1" applyBorder="1" applyAlignment="1">
      <alignment horizontal="center" vertical="center" wrapText="1"/>
    </xf>
    <xf numFmtId="169" fontId="137" fillId="8" borderId="1" xfId="0" applyFont="1" applyFill="1" applyBorder="1" applyAlignment="1">
      <alignment horizontal="center" vertical="top" wrapText="1"/>
    </xf>
    <xf numFmtId="169" fontId="164" fillId="0" borderId="1" xfId="0" applyNumberFormat="1" applyFont="1" applyBorder="1" applyAlignment="1">
      <alignment horizontal="center" vertical="center"/>
    </xf>
    <xf numFmtId="169" fontId="164" fillId="0" borderId="1" xfId="0" applyNumberFormat="1" applyFont="1" applyBorder="1" applyAlignment="1">
      <alignment horizontal="right" vertical="center"/>
    </xf>
    <xf numFmtId="169" fontId="164" fillId="0" borderId="0" xfId="0" applyFont="1" applyBorder="1" applyAlignment="1">
      <alignment horizontal="center" vertical="center"/>
    </xf>
    <xf numFmtId="169" fontId="163" fillId="0" borderId="1" xfId="0" applyNumberFormat="1" applyFont="1" applyFill="1" applyBorder="1" applyAlignment="1">
      <alignment horizontal="center" vertical="center"/>
    </xf>
    <xf numFmtId="169" fontId="164" fillId="0" borderId="1" xfId="0" applyNumberFormat="1" applyFont="1" applyFill="1" applyBorder="1" applyAlignment="1">
      <alignment horizontal="center" vertical="center"/>
    </xf>
    <xf numFmtId="169" fontId="162" fillId="0" borderId="0" xfId="0" applyFont="1" applyAlignment="1">
      <alignment horizontal="center" vertical="center"/>
    </xf>
    <xf numFmtId="169" fontId="165" fillId="0" borderId="0" xfId="0" applyFont="1" applyBorder="1" applyAlignment="1">
      <alignment horizontal="center" vertical="center" wrapText="1"/>
    </xf>
    <xf numFmtId="169" fontId="165" fillId="0" borderId="0" xfId="0" applyFont="1" applyBorder="1" applyAlignment="1">
      <alignment horizontal="center" vertical="center"/>
    </xf>
    <xf numFmtId="169" fontId="165" fillId="0" borderId="1" xfId="0" applyFont="1" applyBorder="1" applyAlignment="1">
      <alignment horizontal="center" vertical="center" wrapText="1"/>
    </xf>
    <xf numFmtId="0" fontId="164" fillId="0" borderId="1" xfId="50" applyFont="1" applyBorder="1" applyAlignment="1">
      <alignment horizontal="left" vertical="center" wrapText="1"/>
    </xf>
    <xf numFmtId="169" fontId="163" fillId="0" borderId="1" xfId="0" applyFont="1" applyBorder="1" applyAlignment="1">
      <alignment horizontal="left" vertical="center" wrapText="1"/>
    </xf>
    <xf numFmtId="0" fontId="164" fillId="0" borderId="1" xfId="0" applyNumberFormat="1" applyFont="1" applyBorder="1" applyAlignment="1">
      <alignment horizontal="center"/>
    </xf>
    <xf numFmtId="169" fontId="163" fillId="0" borderId="0" xfId="0" applyFont="1" applyAlignment="1">
      <alignment horizontal="center"/>
    </xf>
    <xf numFmtId="0" fontId="163" fillId="0" borderId="1" xfId="0" quotePrefix="1" applyNumberFormat="1" applyFont="1" applyBorder="1" applyAlignment="1">
      <alignment horizontal="center" vertical="top" wrapText="1"/>
    </xf>
    <xf numFmtId="2" fontId="163" fillId="0" borderId="1" xfId="0" applyNumberFormat="1" applyFont="1" applyBorder="1" applyAlignment="1">
      <alignment horizontal="left" vertical="top" wrapText="1"/>
    </xf>
    <xf numFmtId="0" fontId="163" fillId="0" borderId="1" xfId="0" applyNumberFormat="1" applyFont="1" applyBorder="1" applyAlignment="1">
      <alignment horizontal="left" vertical="top" wrapText="1"/>
    </xf>
    <xf numFmtId="0" fontId="163" fillId="0" borderId="1" xfId="0" applyNumberFormat="1" applyFont="1" applyBorder="1" applyAlignment="1">
      <alignment horizontal="center" vertical="top" wrapText="1"/>
    </xf>
    <xf numFmtId="169" fontId="52" fillId="0" borderId="1" xfId="0" applyFont="1" applyBorder="1" applyAlignment="1">
      <alignment horizontal="left" vertical="top" wrapText="1"/>
    </xf>
    <xf numFmtId="0" fontId="163" fillId="0" borderId="1" xfId="0" quotePrefix="1" applyNumberFormat="1" applyFont="1" applyBorder="1" applyAlignment="1">
      <alignment horizontal="center" vertical="top"/>
    </xf>
    <xf numFmtId="0" fontId="171" fillId="0" borderId="1" xfId="0" quotePrefix="1" applyNumberFormat="1" applyFont="1" applyBorder="1" applyAlignment="1">
      <alignment horizontal="center" vertical="top" wrapText="1"/>
    </xf>
    <xf numFmtId="2" fontId="171" fillId="0" borderId="1" xfId="0" applyNumberFormat="1" applyFont="1" applyBorder="1" applyAlignment="1">
      <alignment horizontal="left" vertical="top" wrapText="1"/>
    </xf>
    <xf numFmtId="0" fontId="171" fillId="0" borderId="1" xfId="0" applyNumberFormat="1" applyFont="1" applyBorder="1" applyAlignment="1">
      <alignment horizontal="left" vertical="top" wrapText="1"/>
    </xf>
    <xf numFmtId="0" fontId="172" fillId="0" borderId="1" xfId="0" applyNumberFormat="1" applyFont="1" applyBorder="1" applyAlignment="1">
      <alignment horizontal="center"/>
    </xf>
    <xf numFmtId="0" fontId="163" fillId="0" borderId="1" xfId="0" applyNumberFormat="1" applyFont="1" applyBorder="1" applyAlignment="1">
      <alignment horizontal="center" vertical="top"/>
    </xf>
    <xf numFmtId="0" fontId="168" fillId="0" borderId="1" xfId="0" quotePrefix="1" applyNumberFormat="1" applyFont="1" applyBorder="1" applyAlignment="1">
      <alignment horizontal="center" vertical="top" wrapText="1"/>
    </xf>
    <xf numFmtId="0" fontId="168" fillId="0" borderId="1" xfId="0" applyNumberFormat="1" applyFont="1" applyBorder="1" applyAlignment="1">
      <alignment horizontal="left" vertical="top" wrapText="1"/>
    </xf>
    <xf numFmtId="0" fontId="169" fillId="0" borderId="1" xfId="0" applyNumberFormat="1" applyFont="1" applyBorder="1" applyAlignment="1">
      <alignment horizontal="center"/>
    </xf>
    <xf numFmtId="0" fontId="168" fillId="0" borderId="1" xfId="0" quotePrefix="1" applyNumberFormat="1" applyFont="1" applyBorder="1" applyAlignment="1">
      <alignment horizontal="center" vertical="top"/>
    </xf>
    <xf numFmtId="2" fontId="168" fillId="0" borderId="1" xfId="0" applyNumberFormat="1" applyFont="1" applyBorder="1" applyAlignment="1">
      <alignment horizontal="left" vertical="top" wrapText="1"/>
    </xf>
    <xf numFmtId="0" fontId="168" fillId="0" borderId="1" xfId="0" applyNumberFormat="1" applyFont="1" applyBorder="1" applyAlignment="1">
      <alignment horizontal="center" vertical="top"/>
    </xf>
    <xf numFmtId="0" fontId="169" fillId="0" borderId="1" xfId="0" applyNumberFormat="1" applyFont="1" applyBorder="1" applyAlignment="1">
      <alignment horizontal="left" vertical="top" wrapText="1"/>
    </xf>
    <xf numFmtId="2" fontId="171" fillId="0" borderId="1" xfId="51" applyNumberFormat="1" applyFont="1" applyBorder="1" applyAlignment="1">
      <alignment horizontal="left" vertical="center" wrapText="1"/>
    </xf>
    <xf numFmtId="0" fontId="171" fillId="0" borderId="1" xfId="0" quotePrefix="1" applyNumberFormat="1" applyFont="1" applyBorder="1" applyAlignment="1">
      <alignment horizontal="center" vertical="top"/>
    </xf>
    <xf numFmtId="0" fontId="171" fillId="0" borderId="1" xfId="56" applyNumberFormat="1" applyFont="1" applyBorder="1" applyAlignment="1">
      <alignment horizontal="left" vertical="center" wrapText="1"/>
    </xf>
    <xf numFmtId="0" fontId="172" fillId="0" borderId="1" xfId="0" applyNumberFormat="1" applyFont="1" applyBorder="1" applyAlignment="1">
      <alignment horizontal="left" vertical="top" wrapText="1"/>
    </xf>
    <xf numFmtId="0" fontId="171" fillId="0" borderId="1" xfId="0" applyNumberFormat="1" applyFont="1" applyBorder="1" applyAlignment="1">
      <alignment horizontal="center" vertical="top"/>
    </xf>
    <xf numFmtId="2" fontId="172" fillId="0" borderId="1" xfId="0" applyNumberFormat="1" applyFont="1" applyBorder="1" applyAlignment="1">
      <alignment horizontal="left" vertical="top" wrapText="1"/>
    </xf>
    <xf numFmtId="169" fontId="167" fillId="0" borderId="1" xfId="0" applyFont="1" applyBorder="1" applyAlignment="1">
      <alignment horizontal="center"/>
    </xf>
    <xf numFmtId="0" fontId="164" fillId="0" borderId="1" xfId="50" applyFont="1" applyFill="1" applyBorder="1" applyAlignment="1">
      <alignment horizontal="left" vertical="top" wrapText="1"/>
    </xf>
    <xf numFmtId="0" fontId="165" fillId="0" borderId="1" xfId="0" applyNumberFormat="1" applyFont="1" applyBorder="1" applyAlignment="1">
      <alignment horizontal="center"/>
    </xf>
    <xf numFmtId="169" fontId="168" fillId="0" borderId="1" xfId="0" applyNumberFormat="1" applyFont="1" applyFill="1" applyBorder="1" applyAlignment="1">
      <alignment horizontal="left" vertical="center" wrapText="1"/>
    </xf>
    <xf numFmtId="0" fontId="168" fillId="0" borderId="19" xfId="0" applyNumberFormat="1" applyFont="1" applyBorder="1" applyAlignment="1">
      <alignment horizontal="left" vertical="top" wrapText="1"/>
    </xf>
    <xf numFmtId="0" fontId="168" fillId="0" borderId="20" xfId="0" applyNumberFormat="1" applyFont="1" applyBorder="1" applyAlignment="1">
      <alignment horizontal="left" vertical="top" wrapText="1"/>
    </xf>
    <xf numFmtId="0" fontId="168" fillId="0" borderId="21" xfId="0" applyNumberFormat="1" applyFont="1" applyBorder="1" applyAlignment="1">
      <alignment horizontal="left" vertical="top" wrapText="1"/>
    </xf>
    <xf numFmtId="16" fontId="163" fillId="0" borderId="1" xfId="0" applyNumberFormat="1" applyFont="1" applyBorder="1" applyAlignment="1">
      <alignment horizontal="left" vertical="top" wrapText="1"/>
    </xf>
    <xf numFmtId="0" fontId="164" fillId="0" borderId="1" xfId="0" applyNumberFormat="1" applyFont="1" applyBorder="1" applyAlignment="1">
      <alignment horizontal="left"/>
    </xf>
  </cellXfs>
  <cellStyles count="61">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xfId="52"/>
    <cellStyle name="Normal 11 2" xfId="11"/>
    <cellStyle name="Normal 12" xfId="53"/>
    <cellStyle name="Normal 13" xfId="12"/>
    <cellStyle name="Normal 15 5" xfId="13"/>
    <cellStyle name="Normal 17" xfId="54"/>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2 6" xfId="59"/>
    <cellStyle name="Normal 2 7 3" xfId="55"/>
    <cellStyle name="Normal 3" xfId="22"/>
    <cellStyle name="Normal 3 2" xfId="23"/>
    <cellStyle name="Normal 3 2 2" xfId="24"/>
    <cellStyle name="Normal 3 2 2 2 4" xfId="25"/>
    <cellStyle name="Normal 3 4" xfId="26"/>
    <cellStyle name="Normal 4" xfId="27"/>
    <cellStyle name="Normal 4 2" xfId="56"/>
    <cellStyle name="Normal 4 2 2" xfId="57"/>
    <cellStyle name="Normal 5" xfId="28"/>
    <cellStyle name="Normal 5 2" xfId="29"/>
    <cellStyle name="Normal 5 3" xfId="30"/>
    <cellStyle name="Normal 5 4" xfId="31"/>
    <cellStyle name="Normal 5 5" xfId="32"/>
    <cellStyle name="Normal 6" xfId="33"/>
    <cellStyle name="Normal 6 2" xfId="58"/>
    <cellStyle name="Normal 7" xfId="34"/>
    <cellStyle name="Normal 7 2" xfId="35"/>
    <cellStyle name="Normal 8" xfId="36"/>
    <cellStyle name="Normal 8 2" xfId="37"/>
    <cellStyle name="Normal 9" xfId="60"/>
    <cellStyle name="Normal_Alandur Detail 2" xfId="38"/>
    <cellStyle name="Normal_June-2004 2" xfId="39"/>
    <cellStyle name="Normal_Phase XI QS" xfId="40"/>
    <cellStyle name="Normal_Phase XI QS 2" xfId="41"/>
    <cellStyle name="Normal_Phase XI QS 2 2" xfId="51"/>
    <cellStyle name="Normal_Phase XI QS 3" xfId="42"/>
    <cellStyle name="Normal_Phase XI QS 4" xfId="50"/>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2458212</xdr:colOff>
      <xdr:row>0</xdr:row>
      <xdr:rowOff>32385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48125" y="0"/>
          <a:ext cx="952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BBPM/Downloads/Mel%20chengam%20PS%20SR%20WORK%202022-202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BBPM/Downloads/Special%20Repair%20works%20Thiruvannamalai%20AWPS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G. Abstract"/>
      <sheetName val="building"/>
      <sheetName val="pile data "/>
      <sheetName val="  Coastal  Elec.Data "/>
      <sheetName val="Chart1"/>
      <sheetName val="lead  charge"/>
      <sheetName val="Elec.Data"/>
      <sheetName val="Data"/>
      <sheetName val="Sliding and french window"/>
      <sheetName val="Sheet1"/>
      <sheetName val="B.D .Abstract"/>
      <sheetName val="Chetpet"/>
      <sheetName val="Chetpet Abstract"/>
      <sheetName val="B.D details"/>
      <sheetName val="Sheet2"/>
    </sheetNames>
    <sheetDataSet>
      <sheetData sheetId="0" refreshError="1"/>
      <sheetData sheetId="1" refreshError="1"/>
      <sheetData sheetId="2" refreshError="1"/>
      <sheetData sheetId="3" refreshError="1">
        <row r="631">
          <cell r="C631">
            <v>3325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6">
          <cell r="H16">
            <v>156.04</v>
          </cell>
        </row>
        <row r="29">
          <cell r="H29">
            <v>0.3</v>
          </cell>
        </row>
      </sheetData>
      <sheetData sheetId="1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galam"/>
      <sheetName val="Cheyyar Police station"/>
      <sheetName val="Cheyyar PS"/>
      <sheetName val="Vandavasi Police Qtrs"/>
      <sheetName val="Vandavasi PQ Details"/>
      <sheetName val="AR Police Qtrs"/>
      <sheetName val="AR Police Qtrs Details"/>
      <sheetName val="Dog kennel"/>
      <sheetName val="Dog kannel"/>
      <sheetName val="Mangalam Detail estimate"/>
      <sheetName val="Polur DSP abstract"/>
      <sheetName val="Polur DSP Qtrs Detailed"/>
      <sheetName val="Kalasapakkam"/>
      <sheetName val="Sheet4"/>
      <sheetName val="Kalasapakkam ABstract"/>
      <sheetName val="Ph XIII AR"/>
      <sheetName val="Ph XIII AR abstract"/>
      <sheetName val="Chengam PS &amp; PQ"/>
      <sheetName val="Chamgam Abstract"/>
      <sheetName val="Puduppalayam"/>
      <sheetName val="Puduppalayam Abstract"/>
      <sheetName val="Polur Circle inspector details"/>
      <sheetName val="Polur Circle Inspector Abstract"/>
      <sheetName val=" Abstract"/>
      <sheetName val="details"/>
      <sheetName val="Thampattu"/>
      <sheetName val="Thchampattu Abstruct"/>
      <sheetName val="VV Bodi "/>
      <sheetName val="Vadavanakkambadi Abstract"/>
      <sheetName val="Veraiyur"/>
      <sheetName val="Veraiyur Abstract"/>
      <sheetName val="Thandrampattu"/>
      <sheetName val="Thandrampattu Abstruct"/>
      <sheetName val="Thanipadi Abstruct"/>
      <sheetName val="Thanipadi"/>
      <sheetName val="Thellar"/>
      <sheetName val="Thellar details"/>
      <sheetName val="Arni Taluk abstract"/>
      <sheetName val="Arni Taluk details"/>
      <sheetName val="Sandavasal details"/>
      <sheetName val="Sandavasal Abstract"/>
      <sheetName val="KIlpenathur Details"/>
      <sheetName val="Kilpennathur Abstrac"/>
      <sheetName val="Thandrampattu details"/>
      <sheetName val="Thandrampattu Abstract"/>
      <sheetName val="Sheet1"/>
    </sheetNames>
    <sheetDataSet>
      <sheetData sheetId="0" refreshError="1"/>
      <sheetData sheetId="1" refreshError="1"/>
      <sheetData sheetId="2" refreshError="1"/>
      <sheetData sheetId="3" refreshError="1"/>
      <sheetData sheetId="4" refreshError="1"/>
      <sheetData sheetId="5" refreshError="1">
        <row r="87">
          <cell r="C87" t="str">
            <v>Supply, assembling and fixing of patty type fluorescent tubular lamp with fitting of four feet long ordinary patti, electronic ballast, slim tube light of 36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ell>
        </row>
        <row r="88">
          <cell r="C88" t="str">
            <v>Supply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insuitable sheet steel enclosure confirming to IS 12640/1988. Including cost of ELCB/RCCB on fully concealed suitable MS box with necessary inter connections and earth connections using copper cable including cost of all materials etc., all complete.</v>
          </cell>
        </row>
        <row r="89">
          <cell r="C89" t="str">
            <v>Supplying and fixing of Fan Regulator etc complete.</v>
          </cell>
        </row>
        <row r="90">
          <cell r="C90" t="str">
            <v>Supplying and fixing of CP Tap for wash basin</v>
          </cell>
        </row>
        <row r="97">
          <cell r="C97" t="str">
            <v>Painting the old wood work with one coat of approved first class synthetic enamel ready mixed paint.</v>
          </cell>
        </row>
        <row r="98">
          <cell r="C98" t="str">
            <v>Painting the old iron work with one coat of approved first class synthetic enamel ready mixed paint.</v>
          </cell>
        </row>
        <row r="99">
          <cell r="C99" t="str">
            <v>Supplying and fixing of Cupboard shutter lock and key arrangements</v>
          </cell>
        </row>
        <row r="101">
          <cell r="C101" t="str">
            <v>Supplying and fixing of steel handeles, peg stages for existing steel windows</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18">
          <cell r="C18" t="str">
            <v>Finishing the top of Terrace floor with one course of solar eflective water proof, heat proof and cool roof ceramic tiles of size 300mmx300mmx8mm thick of  aproved quality laid in cm 1:3, 20mm thick without base concrete mixed with calcium based mineral powder (60 kg for 1000 sqft) (before laying tiles, the tiles should be diped with salin based nano liquid) and top Grouting with cm 1:3, mixed with white cement, silicon powder etc complete</v>
          </cell>
        </row>
        <row r="45">
          <cell r="C45" t="str">
            <v>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132" t="s">
        <v>3985</v>
      </c>
      <c r="B1" s="1132"/>
      <c r="C1" s="1132"/>
      <c r="D1" s="1132"/>
      <c r="E1" s="1132"/>
      <c r="F1" s="1132"/>
    </row>
    <row r="2" spans="1:7" ht="17.25" customHeight="1">
      <c r="A2" s="1132" t="s">
        <v>3984</v>
      </c>
      <c r="B2" s="1132"/>
      <c r="C2" s="1132"/>
      <c r="D2" s="1132"/>
      <c r="E2" s="1132"/>
      <c r="F2" s="1132"/>
    </row>
    <row r="3" spans="1:7" ht="31.5" customHeight="1">
      <c r="A3" s="1133" t="s">
        <v>4140</v>
      </c>
      <c r="B3" s="1133"/>
      <c r="C3" s="1133"/>
      <c r="D3" s="1133"/>
      <c r="E3" s="1133"/>
      <c r="F3" s="1133"/>
    </row>
    <row r="4" spans="1:7" ht="17.25">
      <c r="A4" s="1134" t="s">
        <v>4627</v>
      </c>
      <c r="B4" s="1134"/>
      <c r="C4" s="1134"/>
      <c r="D4" s="1134"/>
      <c r="E4" s="1134"/>
      <c r="F4" s="66"/>
    </row>
    <row r="5" spans="1:7" ht="6" customHeight="1">
      <c r="A5" s="66"/>
      <c r="B5" s="66"/>
      <c r="C5" s="66"/>
      <c r="D5" s="66"/>
      <c r="E5" s="66"/>
      <c r="F5" s="66"/>
    </row>
    <row r="6" spans="1:7" ht="45.75" customHeight="1">
      <c r="B6" s="84"/>
      <c r="C6" s="1135" t="s">
        <v>4629</v>
      </c>
      <c r="D6" s="1135"/>
      <c r="E6" s="1135"/>
      <c r="F6" s="84"/>
      <c r="G6" s="2" t="s">
        <v>2151</v>
      </c>
    </row>
    <row r="7" spans="1:7" ht="24" customHeight="1">
      <c r="A7" s="83"/>
      <c r="B7" s="1136" t="s">
        <v>4628</v>
      </c>
      <c r="C7" s="1136"/>
      <c r="D7" s="1136"/>
      <c r="E7" s="1136"/>
      <c r="F7" s="1136"/>
      <c r="G7" s="5">
        <f>ROUND(3.14*0.75*0.75*8/4,2)</f>
        <v>3.53</v>
      </c>
    </row>
    <row r="8" spans="1:7" ht="28.5" customHeight="1">
      <c r="A8" s="75"/>
      <c r="B8" s="75"/>
      <c r="C8" s="82" t="s">
        <v>3982</v>
      </c>
      <c r="D8" s="75"/>
      <c r="E8" s="75"/>
      <c r="F8" s="75"/>
    </row>
    <row r="9" spans="1:7" ht="30.75" customHeight="1">
      <c r="A9" s="77">
        <f>G7</f>
        <v>3.53</v>
      </c>
      <c r="B9" s="75" t="s">
        <v>2151</v>
      </c>
      <c r="C9" s="75" t="s">
        <v>4012</v>
      </c>
      <c r="D9" s="66"/>
      <c r="E9" s="76">
        <f>Data!Y688</f>
        <v>8461.35</v>
      </c>
      <c r="F9" s="76">
        <f>A9*E9</f>
        <v>29868.57</v>
      </c>
    </row>
    <row r="10" spans="1:7" ht="30.75" customHeight="1">
      <c r="A10" s="81">
        <f>A9*10/100</f>
        <v>0.35299999999999998</v>
      </c>
      <c r="B10" s="75" t="s">
        <v>528</v>
      </c>
      <c r="C10" s="75" t="s">
        <v>5641</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39684.22</v>
      </c>
    </row>
    <row r="14" spans="1:7" ht="21" customHeight="1">
      <c r="A14" s="75"/>
      <c r="B14" s="75"/>
      <c r="C14" s="75" t="s">
        <v>1639</v>
      </c>
      <c r="D14" s="66"/>
      <c r="E14" s="75"/>
      <c r="F14" s="76">
        <f>F13/8</f>
        <v>4960.53</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5085.53</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37" t="s">
        <v>3976</v>
      </c>
      <c r="D21" s="1137"/>
      <c r="E21" s="1137"/>
      <c r="F21" s="80"/>
    </row>
    <row r="22" spans="1:13" ht="30.75" customHeight="1">
      <c r="A22" s="79"/>
      <c r="B22" s="1136" t="s">
        <v>3975</v>
      </c>
      <c r="C22" s="1136"/>
      <c r="D22" s="1136"/>
      <c r="E22" s="1136"/>
      <c r="F22" s="1136"/>
      <c r="G22" s="5">
        <v>0.19600000000000001</v>
      </c>
    </row>
    <row r="23" spans="1:13" ht="30.75" customHeight="1">
      <c r="A23" s="75"/>
      <c r="B23" s="75"/>
      <c r="C23" s="78" t="s">
        <v>3974</v>
      </c>
      <c r="D23" s="75"/>
      <c r="E23" s="75"/>
      <c r="F23" s="75"/>
    </row>
    <row r="24" spans="1:13" ht="30.75" customHeight="1">
      <c r="A24" s="77">
        <f>G22</f>
        <v>0.19600000000000001</v>
      </c>
      <c r="B24" s="75" t="s">
        <v>2151</v>
      </c>
      <c r="C24" s="75" t="s">
        <v>5936</v>
      </c>
      <c r="D24" s="66"/>
      <c r="E24" s="76">
        <f>Data!AE62</f>
        <v>0</v>
      </c>
      <c r="F24" s="76">
        <f>A24*E24</f>
        <v>0</v>
      </c>
    </row>
    <row r="25" spans="1:13" ht="42.75" customHeight="1">
      <c r="A25" s="77">
        <f>+A24</f>
        <v>0.19600000000000001</v>
      </c>
      <c r="B25" s="75" t="s">
        <v>2151</v>
      </c>
      <c r="C25" s="1138" t="s">
        <v>5937</v>
      </c>
      <c r="D25" s="1138"/>
      <c r="E25" s="76">
        <f>Data!AE63*3</f>
        <v>0</v>
      </c>
      <c r="F25" s="76">
        <f>E25*A25</f>
        <v>0</v>
      </c>
      <c r="I25">
        <f>8.69*0.125</f>
        <v>1.0900000000000001</v>
      </c>
    </row>
    <row r="26" spans="1:13" ht="36" customHeight="1">
      <c r="A26" s="77">
        <f>+A25</f>
        <v>0.19600000000000001</v>
      </c>
      <c r="B26" s="75" t="s">
        <v>2151</v>
      </c>
      <c r="C26" s="75" t="s">
        <v>4307</v>
      </c>
      <c r="D26" s="66"/>
      <c r="E26" s="76">
        <f>Data!AE64</f>
        <v>0</v>
      </c>
      <c r="F26" s="76">
        <f>A26*E26</f>
        <v>0</v>
      </c>
      <c r="I26" s="11">
        <f>0.125*26.3</f>
        <v>3.29</v>
      </c>
    </row>
    <row r="27" spans="1:13" ht="17.25">
      <c r="A27" s="76"/>
      <c r="B27" s="75"/>
      <c r="C27" s="75"/>
      <c r="D27" s="66"/>
      <c r="E27" s="76"/>
      <c r="F27" s="76"/>
      <c r="I27">
        <f>26.58/3</f>
        <v>8.86</v>
      </c>
    </row>
    <row r="28" spans="1:13" ht="17.25">
      <c r="A28" s="75"/>
      <c r="B28" s="75"/>
      <c r="C28" s="75" t="s">
        <v>1639</v>
      </c>
      <c r="D28" s="66"/>
      <c r="E28" s="75"/>
      <c r="F28" s="74">
        <f>SUM(F24:F27)</f>
        <v>0</v>
      </c>
    </row>
    <row r="29" spans="1:13" ht="17.25">
      <c r="A29" s="66"/>
      <c r="B29" s="66"/>
      <c r="C29" s="66"/>
      <c r="D29" s="66"/>
      <c r="E29" s="66"/>
      <c r="F29" s="66"/>
    </row>
    <row r="30" spans="1:13" ht="51" customHeight="1">
      <c r="B30" s="73"/>
      <c r="C30" s="1139" t="s">
        <v>3971</v>
      </c>
      <c r="D30" s="1139"/>
      <c r="E30" s="1139"/>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4308</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3991</v>
      </c>
    </row>
    <row r="41" spans="1:10" ht="24" customHeight="1">
      <c r="A41" s="5">
        <v>5</v>
      </c>
      <c r="B41" t="s">
        <v>1341</v>
      </c>
      <c r="C41" t="s">
        <v>3999</v>
      </c>
      <c r="D41">
        <f>Data!V675</f>
        <v>1807.94</v>
      </c>
      <c r="F41">
        <f>D41*A41</f>
        <v>9039.7000000000007</v>
      </c>
    </row>
    <row r="42" spans="1:10" ht="24" customHeight="1">
      <c r="A42" s="5">
        <v>3.3</v>
      </c>
      <c r="B42" t="s">
        <v>1341</v>
      </c>
      <c r="C42" t="s">
        <v>4000</v>
      </c>
      <c r="D42">
        <f>Data!V676</f>
        <v>1517.94</v>
      </c>
      <c r="F42">
        <f t="shared" ref="F42:F48" si="0">D42*A42</f>
        <v>5009.2</v>
      </c>
    </row>
    <row r="43" spans="1:10" ht="24" customHeight="1">
      <c r="A43" s="5">
        <v>4.79</v>
      </c>
      <c r="B43" t="s">
        <v>1341</v>
      </c>
      <c r="C43" t="s">
        <v>4001</v>
      </c>
      <c r="D43">
        <f>Data!V677</f>
        <v>1741.58</v>
      </c>
      <c r="F43">
        <f t="shared" si="0"/>
        <v>8342.17</v>
      </c>
    </row>
    <row r="44" spans="1:10" ht="24" customHeight="1">
      <c r="A44" s="5">
        <v>4</v>
      </c>
      <c r="B44" t="s">
        <v>528</v>
      </c>
      <c r="C44" t="s">
        <v>390</v>
      </c>
      <c r="D44">
        <f>Data!V678</f>
        <v>6040</v>
      </c>
      <c r="F44">
        <f t="shared" si="0"/>
        <v>24160</v>
      </c>
    </row>
    <row r="45" spans="1:10" ht="24" customHeight="1">
      <c r="A45" s="5">
        <v>40</v>
      </c>
      <c r="B45" t="s">
        <v>1645</v>
      </c>
      <c r="C45" t="s">
        <v>4008</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4003</v>
      </c>
      <c r="D49">
        <f>Data!V683</f>
        <v>0</v>
      </c>
      <c r="F49" s="11">
        <f>SUM(F41:F48)</f>
        <v>84192.47</v>
      </c>
    </row>
    <row r="50" spans="1:8" ht="24" customHeight="1">
      <c r="A50" s="5"/>
      <c r="C50" s="11" t="s">
        <v>4004</v>
      </c>
      <c r="D50">
        <f>Data!V684</f>
        <v>0</v>
      </c>
      <c r="F50" s="11">
        <f>F49/10</f>
        <v>8419.25</v>
      </c>
      <c r="G50">
        <f>F50</f>
        <v>8419.25</v>
      </c>
    </row>
    <row r="51" spans="1:8" ht="24" customHeight="1">
      <c r="A51" s="5">
        <v>1</v>
      </c>
      <c r="B51" t="s">
        <v>1341</v>
      </c>
      <c r="C51" t="s">
        <v>3465</v>
      </c>
      <c r="D51">
        <f>Data!V685</f>
        <v>94.2</v>
      </c>
      <c r="F51">
        <f>D51</f>
        <v>94.2</v>
      </c>
    </row>
    <row r="52" spans="1:8" ht="24" customHeight="1">
      <c r="A52" s="5"/>
      <c r="C52" t="s">
        <v>4005</v>
      </c>
      <c r="F52" s="11">
        <f>SUM(F50:F51)</f>
        <v>8513.4500000000007</v>
      </c>
      <c r="G52">
        <f>SUM(G50:G51)</f>
        <v>8419.25</v>
      </c>
    </row>
    <row r="53" spans="1:8">
      <c r="A53" s="46" t="s">
        <v>657</v>
      </c>
      <c r="C53" t="s">
        <v>4006</v>
      </c>
      <c r="D53" s="46" t="s">
        <v>657</v>
      </c>
      <c r="F53">
        <f>F52*0.5%</f>
        <v>42.57</v>
      </c>
      <c r="G53">
        <f>G52*0.5/100</f>
        <v>42.1</v>
      </c>
    </row>
    <row r="54" spans="1:8" ht="47.25">
      <c r="A54" s="5"/>
      <c r="C54" s="11" t="s">
        <v>3588</v>
      </c>
      <c r="E54" s="1"/>
      <c r="F54" s="11">
        <f>SUM(F52:F53)</f>
        <v>8556.02</v>
      </c>
      <c r="G54" s="11">
        <f>SUM(G52:G53)</f>
        <v>8461.35</v>
      </c>
      <c r="H54" s="37" t="s">
        <v>4016</v>
      </c>
    </row>
    <row r="55" spans="1:8">
      <c r="A55" s="5"/>
      <c r="E55" s="1"/>
      <c r="F55" s="3" t="s">
        <v>1586</v>
      </c>
    </row>
    <row r="56" spans="1:8">
      <c r="A56" s="5"/>
      <c r="C56" s="1" t="s">
        <v>386</v>
      </c>
      <c r="E56" s="1"/>
      <c r="F56" s="11">
        <f>F54+Data!C23</f>
        <v>8792.1200000000008</v>
      </c>
    </row>
    <row r="57" spans="1:8">
      <c r="A57" s="5"/>
      <c r="C57" s="1" t="s">
        <v>388</v>
      </c>
      <c r="E57" s="1"/>
      <c r="F57" s="93"/>
    </row>
    <row r="58" spans="1:8">
      <c r="A58" s="5"/>
      <c r="C58" s="1" t="s">
        <v>2232</v>
      </c>
      <c r="E58" s="1"/>
      <c r="F58" s="11">
        <f>F56+Data!C25</f>
        <v>8886.32</v>
      </c>
    </row>
    <row r="59" spans="1:8">
      <c r="A59" s="5"/>
      <c r="C59" s="1" t="s">
        <v>380</v>
      </c>
      <c r="E59" s="1"/>
      <c r="F59" s="11"/>
    </row>
    <row r="60" spans="1:8">
      <c r="A60" s="5"/>
      <c r="C60" s="1" t="s">
        <v>1532</v>
      </c>
      <c r="E60" s="1"/>
      <c r="F60" s="11">
        <f>F58+Data!C27</f>
        <v>8920.52</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32" t="s">
        <v>3985</v>
      </c>
      <c r="B65" s="1132"/>
      <c r="C65" s="1132"/>
      <c r="D65" s="1132"/>
      <c r="E65" s="1132"/>
      <c r="F65" s="1132"/>
    </row>
    <row r="66" spans="1:7" ht="17.25">
      <c r="A66" s="1132" t="s">
        <v>3984</v>
      </c>
      <c r="B66" s="1132"/>
      <c r="C66" s="1132"/>
      <c r="D66" s="1132"/>
      <c r="E66" s="1132"/>
      <c r="F66" s="1132"/>
    </row>
    <row r="67" spans="1:7" ht="17.25">
      <c r="A67" s="1133" t="s">
        <v>4140</v>
      </c>
      <c r="B67" s="1133"/>
      <c r="C67" s="1133"/>
      <c r="D67" s="1133"/>
      <c r="E67" s="1133"/>
      <c r="F67" s="1133"/>
    </row>
    <row r="68" spans="1:7" ht="17.25">
      <c r="A68" s="1134" t="s">
        <v>3983</v>
      </c>
      <c r="B68" s="1134"/>
      <c r="C68" s="1134"/>
      <c r="D68" s="1134"/>
      <c r="E68" s="1134"/>
      <c r="F68" s="66"/>
    </row>
    <row r="69" spans="1:7" ht="17.25">
      <c r="A69" s="66"/>
      <c r="B69" s="66"/>
      <c r="C69" s="66"/>
      <c r="D69" s="66"/>
      <c r="E69" s="66"/>
      <c r="F69" s="66"/>
    </row>
    <row r="70" spans="1:7" ht="19.5">
      <c r="B70" s="84"/>
      <c r="C70" s="1135" t="s">
        <v>4141</v>
      </c>
      <c r="D70" s="1135"/>
      <c r="E70" s="1135"/>
      <c r="F70" s="84"/>
      <c r="G70" s="2" t="s">
        <v>2151</v>
      </c>
    </row>
    <row r="71" spans="1:7" ht="20.25">
      <c r="A71" s="83"/>
      <c r="B71" s="1136" t="s">
        <v>4142</v>
      </c>
      <c r="C71" s="1136"/>
      <c r="D71" s="1136"/>
      <c r="E71" s="1136"/>
      <c r="F71" s="1136"/>
      <c r="G71" s="5">
        <f>ROUND(3.14*0.45*0.45*8/4,2)</f>
        <v>1.27</v>
      </c>
    </row>
    <row r="72" spans="1:7" ht="39" customHeight="1">
      <c r="A72" s="75"/>
      <c r="B72" s="75"/>
      <c r="C72" s="112" t="s">
        <v>4147</v>
      </c>
      <c r="D72" s="75"/>
      <c r="E72" s="75"/>
      <c r="F72" s="75"/>
    </row>
    <row r="73" spans="1:7" ht="28.5" customHeight="1">
      <c r="A73" s="77">
        <f>G71</f>
        <v>1.27</v>
      </c>
      <c r="B73" s="75" t="s">
        <v>2151</v>
      </c>
      <c r="C73" s="75" t="s">
        <v>4012</v>
      </c>
      <c r="D73" s="66"/>
      <c r="E73" s="76">
        <f>G54</f>
        <v>8461.35</v>
      </c>
      <c r="F73" s="76">
        <f>A73*E73</f>
        <v>10745.91</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18933.91</v>
      </c>
    </row>
    <row r="78" spans="1:7" ht="17.25">
      <c r="A78" s="75"/>
      <c r="B78" s="75"/>
      <c r="C78" s="75" t="s">
        <v>1639</v>
      </c>
      <c r="D78" s="66"/>
      <c r="E78" s="75"/>
      <c r="F78" s="76">
        <f>F77/8</f>
        <v>2366.7399999999998</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2491.7399999999998</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37" t="s">
        <v>3976</v>
      </c>
      <c r="D85" s="1137"/>
      <c r="E85" s="1137"/>
      <c r="F85" s="80"/>
      <c r="G85" s="11"/>
    </row>
    <row r="86" spans="1:7" ht="20.25">
      <c r="A86" s="79"/>
      <c r="B86" s="1136" t="s">
        <v>4143</v>
      </c>
      <c r="C86" s="1136"/>
      <c r="D86" s="1136"/>
      <c r="E86" s="1136"/>
      <c r="F86" s="1136"/>
      <c r="G86" s="5">
        <f>3.14*0.45*0.45/4</f>
        <v>0.159</v>
      </c>
    </row>
    <row r="87" spans="1:7" ht="17.25">
      <c r="A87" s="75"/>
      <c r="B87" s="75"/>
      <c r="C87" s="78" t="s">
        <v>3974</v>
      </c>
      <c r="D87" s="75"/>
      <c r="E87" s="75"/>
      <c r="F87" s="75"/>
    </row>
    <row r="88" spans="1:7" ht="17.25">
      <c r="A88" s="77">
        <f>G86</f>
        <v>0.159</v>
      </c>
      <c r="B88" s="75" t="s">
        <v>2151</v>
      </c>
      <c r="C88" s="75" t="s">
        <v>3973</v>
      </c>
      <c r="D88" s="66"/>
      <c r="E88" s="76">
        <f>E24</f>
        <v>0</v>
      </c>
      <c r="F88" s="76">
        <f>A88*E88</f>
        <v>0</v>
      </c>
    </row>
    <row r="89" spans="1:7" ht="17.25">
      <c r="A89" s="77">
        <f>+A88</f>
        <v>0.159</v>
      </c>
      <c r="B89" s="75" t="s">
        <v>2151</v>
      </c>
      <c r="C89" s="1138" t="s">
        <v>4306</v>
      </c>
      <c r="D89" s="1138"/>
      <c r="E89" s="76">
        <f>E25</f>
        <v>0</v>
      </c>
      <c r="F89" s="76">
        <f>E89*A89</f>
        <v>0</v>
      </c>
    </row>
    <row r="90" spans="1:7" ht="17.25">
      <c r="A90" s="77">
        <f>+A89</f>
        <v>0.159</v>
      </c>
      <c r="B90" s="75" t="s">
        <v>2151</v>
      </c>
      <c r="C90" s="75" t="s">
        <v>4307</v>
      </c>
      <c r="D90" s="66"/>
      <c r="E90" s="76">
        <v>30.1</v>
      </c>
      <c r="F90" s="76">
        <f>A90*E90</f>
        <v>4.79</v>
      </c>
    </row>
    <row r="91" spans="1:7" ht="17.25">
      <c r="A91" s="76"/>
      <c r="B91" s="75"/>
      <c r="C91" s="75"/>
      <c r="D91" s="66"/>
      <c r="E91" s="76"/>
      <c r="F91" s="76"/>
    </row>
    <row r="92" spans="1:7" ht="17.25">
      <c r="A92" s="75"/>
      <c r="B92" s="75"/>
      <c r="C92" s="75" t="s">
        <v>1639</v>
      </c>
      <c r="D92" s="66"/>
      <c r="E92" s="75"/>
      <c r="F92" s="74">
        <f>SUM(F88:F91)</f>
        <v>4.79</v>
      </c>
    </row>
    <row r="93" spans="1:7" ht="17.25">
      <c r="A93" s="66"/>
      <c r="B93" s="66"/>
      <c r="C93" s="66"/>
      <c r="D93" s="66"/>
      <c r="E93" s="66"/>
      <c r="F93" s="66"/>
    </row>
    <row r="94" spans="1:7" ht="17.25">
      <c r="B94" s="73"/>
      <c r="C94" s="1139" t="s">
        <v>3971</v>
      </c>
      <c r="D94" s="1139"/>
      <c r="E94" s="1139"/>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1807.94</v>
      </c>
      <c r="F104">
        <f>D104*A104</f>
        <v>9039.7000000000007</v>
      </c>
    </row>
    <row r="105" spans="1:7" ht="30" hidden="1" customHeight="1">
      <c r="A105" s="5">
        <v>3.3</v>
      </c>
      <c r="B105" t="s">
        <v>1341</v>
      </c>
      <c r="C105" t="s">
        <v>4000</v>
      </c>
      <c r="D105">
        <f t="shared" ref="D105:D116" si="1">D42</f>
        <v>1517.94</v>
      </c>
      <c r="F105">
        <f t="shared" ref="F105:F111" si="2">D105*A105</f>
        <v>5009.2</v>
      </c>
    </row>
    <row r="106" spans="1:7" ht="30" hidden="1" customHeight="1">
      <c r="A106" s="5">
        <v>4.79</v>
      </c>
      <c r="B106" t="s">
        <v>1341</v>
      </c>
      <c r="C106" t="s">
        <v>4001</v>
      </c>
      <c r="D106">
        <f t="shared" si="1"/>
        <v>1741.58</v>
      </c>
      <c r="F106">
        <f t="shared" si="2"/>
        <v>8342.17</v>
      </c>
    </row>
    <row r="107" spans="1:7" ht="30" hidden="1" customHeight="1">
      <c r="A107" s="5">
        <v>4</v>
      </c>
      <c r="B107" t="s">
        <v>528</v>
      </c>
      <c r="C107" t="s">
        <v>390</v>
      </c>
      <c r="D107">
        <f t="shared" si="1"/>
        <v>6040</v>
      </c>
      <c r="F107">
        <f t="shared" si="2"/>
        <v>24160</v>
      </c>
    </row>
    <row r="108" spans="1:7" ht="30" hidden="1" customHeight="1">
      <c r="A108" s="5">
        <v>40</v>
      </c>
      <c r="B108" t="s">
        <v>1645</v>
      </c>
      <c r="C108" t="s">
        <v>4008</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4003</v>
      </c>
      <c r="D112">
        <f t="shared" si="1"/>
        <v>0</v>
      </c>
      <c r="F112" s="11">
        <f>SUM(F104:F111)</f>
        <v>84192.47</v>
      </c>
    </row>
    <row r="113" spans="1:7" ht="30" hidden="1" customHeight="1">
      <c r="A113" s="5"/>
      <c r="C113" s="11" t="s">
        <v>4004</v>
      </c>
      <c r="D113">
        <f t="shared" si="1"/>
        <v>0</v>
      </c>
      <c r="F113" s="11">
        <f>F112/10</f>
        <v>8419.25</v>
      </c>
      <c r="G113">
        <f>F113</f>
        <v>8419.25</v>
      </c>
    </row>
    <row r="114" spans="1:7" ht="30" hidden="1" customHeight="1">
      <c r="A114" s="5">
        <v>1</v>
      </c>
      <c r="B114" t="s">
        <v>1341</v>
      </c>
      <c r="C114" t="s">
        <v>3465</v>
      </c>
      <c r="D114">
        <f t="shared" si="1"/>
        <v>94.2</v>
      </c>
      <c r="F114">
        <f>D114</f>
        <v>94.2</v>
      </c>
    </row>
    <row r="115" spans="1:7" ht="30" hidden="1" customHeight="1">
      <c r="A115" s="5"/>
      <c r="C115" t="s">
        <v>4005</v>
      </c>
      <c r="D115">
        <f t="shared" si="1"/>
        <v>0</v>
      </c>
      <c r="F115" s="11">
        <f>SUM(F113:F114)</f>
        <v>8513.4500000000007</v>
      </c>
      <c r="G115">
        <f>SUM(G113:G114)</f>
        <v>8419.25</v>
      </c>
    </row>
    <row r="116" spans="1:7" ht="30" hidden="1" customHeight="1">
      <c r="A116" s="46" t="s">
        <v>657</v>
      </c>
      <c r="C116" t="s">
        <v>4006</v>
      </c>
      <c r="D116" t="str">
        <f t="shared" si="1"/>
        <v>LS</v>
      </c>
      <c r="F116">
        <f>F115*0.5%</f>
        <v>42.57</v>
      </c>
      <c r="G116">
        <f>G115*0.5/100</f>
        <v>42.1</v>
      </c>
    </row>
    <row r="117" spans="1:7" ht="30" hidden="1" customHeight="1">
      <c r="A117" s="5"/>
      <c r="C117" s="11" t="s">
        <v>3588</v>
      </c>
      <c r="E117" s="1"/>
      <c r="F117" s="11">
        <f>SUM(F115:F116)</f>
        <v>8556.02</v>
      </c>
      <c r="G117" s="11">
        <f>SUM(G115:G116)</f>
        <v>8461.35</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32" t="s">
        <v>3985</v>
      </c>
      <c r="B125" s="1132"/>
      <c r="C125" s="1132"/>
      <c r="D125" s="1132"/>
      <c r="E125" s="1132"/>
      <c r="F125" s="1132"/>
    </row>
    <row r="126" spans="1:7" ht="17.25">
      <c r="A126" s="1132" t="s">
        <v>3984</v>
      </c>
      <c r="B126" s="1132"/>
      <c r="C126" s="1132"/>
      <c r="D126" s="1132"/>
      <c r="E126" s="1132"/>
      <c r="F126" s="1132"/>
    </row>
    <row r="127" spans="1:7" ht="17.25">
      <c r="A127" s="1133" t="s">
        <v>4140</v>
      </c>
      <c r="B127" s="1133"/>
      <c r="C127" s="1133"/>
      <c r="D127" s="1133"/>
      <c r="E127" s="1133"/>
      <c r="F127" s="1133"/>
    </row>
    <row r="128" spans="1:7" ht="17.25">
      <c r="A128" s="1134" t="s">
        <v>3983</v>
      </c>
      <c r="B128" s="1134"/>
      <c r="C128" s="1134"/>
      <c r="D128" s="1134"/>
      <c r="E128" s="1134"/>
      <c r="F128" s="66"/>
    </row>
    <row r="129" spans="1:7" ht="17.25">
      <c r="A129" s="66"/>
      <c r="B129" s="66"/>
      <c r="C129" s="66"/>
      <c r="D129" s="66"/>
      <c r="E129" s="66"/>
      <c r="F129" s="66"/>
    </row>
    <row r="130" spans="1:7" ht="19.5">
      <c r="B130" s="84"/>
      <c r="C130" s="1135" t="s">
        <v>4144</v>
      </c>
      <c r="D130" s="1135"/>
      <c r="E130" s="1135"/>
      <c r="F130" s="84"/>
      <c r="G130" s="2" t="s">
        <v>2151</v>
      </c>
    </row>
    <row r="131" spans="1:7" ht="20.25">
      <c r="A131" s="83"/>
      <c r="B131" s="1136" t="s">
        <v>4145</v>
      </c>
      <c r="C131" s="1136"/>
      <c r="D131" s="1136"/>
      <c r="E131" s="1136"/>
      <c r="F131" s="1136"/>
      <c r="G131" s="5">
        <f>3.14*0.4*0.4*8/4</f>
        <v>1.0049999999999999</v>
      </c>
    </row>
    <row r="132" spans="1:7" ht="39.75" customHeight="1">
      <c r="A132" s="75"/>
      <c r="B132" s="75"/>
      <c r="C132" s="112" t="s">
        <v>4148</v>
      </c>
      <c r="D132" s="75"/>
      <c r="E132" s="75"/>
      <c r="F132" s="75"/>
    </row>
    <row r="133" spans="1:7" ht="17.25">
      <c r="A133" s="77">
        <f>G131</f>
        <v>1.0049999999999999</v>
      </c>
      <c r="B133" s="75" t="s">
        <v>2151</v>
      </c>
      <c r="C133" s="75" t="s">
        <v>3981</v>
      </c>
      <c r="D133" s="66"/>
      <c r="E133" s="76">
        <f>G117</f>
        <v>8461.35</v>
      </c>
      <c r="F133" s="76">
        <f>A133*E133</f>
        <v>8503.66</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16585.66</v>
      </c>
    </row>
    <row r="138" spans="1:7" ht="17.25">
      <c r="A138" s="75"/>
      <c r="B138" s="75"/>
      <c r="C138" s="75" t="s">
        <v>1639</v>
      </c>
      <c r="D138" s="66"/>
      <c r="E138" s="75"/>
      <c r="F138" s="76">
        <f>F137/7</f>
        <v>2369.38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2494.38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37" t="s">
        <v>3976</v>
      </c>
      <c r="D145" s="1137"/>
      <c r="E145" s="1137"/>
      <c r="F145" s="80"/>
      <c r="G145" s="11"/>
    </row>
    <row r="146" spans="1:7" ht="20.25">
      <c r="A146" s="79"/>
      <c r="B146" s="1136" t="s">
        <v>4146</v>
      </c>
      <c r="C146" s="1136"/>
      <c r="D146" s="1136"/>
      <c r="E146" s="1136"/>
      <c r="F146" s="1136"/>
      <c r="G146" s="5">
        <f>3.14*0.4*0.4/4</f>
        <v>0.126</v>
      </c>
    </row>
    <row r="147" spans="1:7" ht="17.25">
      <c r="A147" s="75"/>
      <c r="B147" s="75"/>
      <c r="C147" s="78" t="s">
        <v>4149</v>
      </c>
      <c r="D147" s="75"/>
      <c r="E147" s="75"/>
      <c r="F147" s="75"/>
    </row>
    <row r="148" spans="1:7" ht="17.25">
      <c r="A148" s="77">
        <f>G146</f>
        <v>0.126</v>
      </c>
      <c r="B148" s="75" t="s">
        <v>2151</v>
      </c>
      <c r="C148" s="75" t="s">
        <v>3973</v>
      </c>
      <c r="D148" s="66"/>
      <c r="E148" s="76">
        <f>E88</f>
        <v>0</v>
      </c>
      <c r="F148" s="76">
        <f>A148*E148</f>
        <v>0</v>
      </c>
    </row>
    <row r="149" spans="1:7" ht="17.25">
      <c r="A149" s="77">
        <f>+A148</f>
        <v>0.126</v>
      </c>
      <c r="B149" s="75" t="s">
        <v>2151</v>
      </c>
      <c r="C149" s="1138" t="s">
        <v>3972</v>
      </c>
      <c r="D149" s="1138"/>
      <c r="E149" s="76">
        <f>E89</f>
        <v>0</v>
      </c>
      <c r="F149" s="76">
        <f>E149*A149</f>
        <v>0</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3.79</v>
      </c>
    </row>
    <row r="153" spans="1:7" ht="17.25">
      <c r="A153" s="66"/>
      <c r="B153" s="66"/>
      <c r="C153" s="66"/>
      <c r="D153" s="66"/>
      <c r="E153" s="66"/>
      <c r="F153" s="66"/>
    </row>
    <row r="154" spans="1:7" ht="17.25">
      <c r="B154" s="73"/>
      <c r="C154" s="1139" t="s">
        <v>3971</v>
      </c>
      <c r="D154" s="1139"/>
      <c r="E154" s="1139"/>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140" t="s">
        <v>2112</v>
      </c>
      <c r="B1" s="1140"/>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5245</v>
      </c>
      <c r="D3" s="136"/>
      <c r="E3" s="137"/>
      <c r="F3" s="138"/>
      <c r="K3" s="126"/>
      <c r="L3" s="129"/>
      <c r="M3" s="125" t="s">
        <v>5642</v>
      </c>
      <c r="N3" s="123"/>
      <c r="O3" s="126"/>
      <c r="P3" s="123"/>
      <c r="R3" s="126"/>
      <c r="S3" s="129"/>
      <c r="T3" s="125" t="s">
        <v>5643</v>
      </c>
      <c r="U3" s="123"/>
      <c r="V3" s="126"/>
      <c r="W3" s="123"/>
      <c r="AC3" s="197" t="s">
        <v>5722</v>
      </c>
      <c r="AL3" s="120"/>
      <c r="AM3" s="120"/>
      <c r="AN3" s="198" t="s">
        <v>5735</v>
      </c>
      <c r="AO3" s="199"/>
      <c r="AP3" s="120"/>
      <c r="AQ3" s="211" t="s">
        <v>5159</v>
      </c>
      <c r="AR3" s="120"/>
    </row>
    <row r="4" spans="1:46" ht="72.75" customHeight="1">
      <c r="A4" s="133"/>
      <c r="B4" s="134"/>
      <c r="C4" s="139" t="s">
        <v>5228</v>
      </c>
      <c r="D4" s="136"/>
      <c r="E4" s="137"/>
      <c r="F4" s="133"/>
      <c r="K4" s="126">
        <v>1</v>
      </c>
      <c r="L4" s="129" t="s">
        <v>560</v>
      </c>
      <c r="M4" s="167" t="s">
        <v>5623</v>
      </c>
      <c r="N4" s="123">
        <v>4440</v>
      </c>
      <c r="O4" s="126" t="s">
        <v>1714</v>
      </c>
      <c r="P4" s="123">
        <f>SUM(K4*N4)</f>
        <v>4440</v>
      </c>
      <c r="R4" s="126">
        <v>1</v>
      </c>
      <c r="S4" s="129" t="s">
        <v>560</v>
      </c>
      <c r="T4" s="167" t="s">
        <v>5623</v>
      </c>
      <c r="U4" s="123">
        <v>5404</v>
      </c>
      <c r="V4" s="126" t="s">
        <v>1714</v>
      </c>
      <c r="W4" s="123">
        <f>SUM(R4*U4)</f>
        <v>5404</v>
      </c>
      <c r="AA4" s="1144" t="s">
        <v>5704</v>
      </c>
      <c r="AB4" s="1144"/>
      <c r="AC4" s="1144"/>
      <c r="AD4" s="1144"/>
      <c r="AE4" s="1144"/>
      <c r="AF4" s="1144"/>
      <c r="AG4" s="1144"/>
      <c r="AL4" s="120"/>
      <c r="AM4" s="120"/>
      <c r="AN4" s="200" t="s">
        <v>5736</v>
      </c>
      <c r="AO4" s="200"/>
      <c r="AP4" s="120"/>
      <c r="AQ4" s="201"/>
      <c r="AR4" s="120"/>
      <c r="AT4" s="165">
        <f>5/12</f>
        <v>0.41666666666666702</v>
      </c>
    </row>
    <row r="5" spans="1:46" ht="15.75" customHeight="1">
      <c r="A5" s="133"/>
      <c r="B5" s="134"/>
      <c r="C5" s="140" t="s">
        <v>4155</v>
      </c>
      <c r="D5" s="136"/>
      <c r="E5" s="137"/>
      <c r="F5" s="133"/>
      <c r="K5" s="126">
        <v>1</v>
      </c>
      <c r="L5" s="129" t="s">
        <v>560</v>
      </c>
      <c r="M5" s="128" t="s">
        <v>5624</v>
      </c>
      <c r="N5" s="123">
        <v>1287</v>
      </c>
      <c r="O5" s="126" t="s">
        <v>1714</v>
      </c>
      <c r="P5" s="123">
        <f>SUM(K5*N5)</f>
        <v>1287</v>
      </c>
      <c r="R5" s="126">
        <v>1</v>
      </c>
      <c r="S5" s="129" t="s">
        <v>560</v>
      </c>
      <c r="T5" s="128" t="s">
        <v>5624</v>
      </c>
      <c r="U5" s="123">
        <v>1617</v>
      </c>
      <c r="V5" s="126" t="s">
        <v>1714</v>
      </c>
      <c r="W5" s="123">
        <f>SUM(R5*U5)</f>
        <v>1617</v>
      </c>
      <c r="AA5" s="165" t="s">
        <v>5705</v>
      </c>
      <c r="AL5" s="120"/>
      <c r="AM5" s="120"/>
      <c r="AN5" s="120" t="s">
        <v>5737</v>
      </c>
      <c r="AO5" s="120"/>
      <c r="AP5" s="120"/>
      <c r="AQ5" s="201"/>
      <c r="AR5" s="120"/>
      <c r="AT5" s="165">
        <f>8/12</f>
        <v>0.66666666666666696</v>
      </c>
    </row>
    <row r="6" spans="1:46" ht="15.75" customHeight="1">
      <c r="A6" s="133"/>
      <c r="B6" s="134"/>
      <c r="C6" s="120" t="s">
        <v>5737</v>
      </c>
      <c r="D6" s="120"/>
      <c r="E6" s="120"/>
      <c r="F6" s="120">
        <f>3.42*6.42*2</f>
        <v>43.912799999999997</v>
      </c>
      <c r="G6" s="182"/>
      <c r="K6" s="126">
        <v>1</v>
      </c>
      <c r="L6" s="129" t="s">
        <v>560</v>
      </c>
      <c r="M6" s="128" t="s">
        <v>5625</v>
      </c>
      <c r="N6" s="123">
        <v>2157</v>
      </c>
      <c r="O6" s="126" t="s">
        <v>1714</v>
      </c>
      <c r="P6" s="123">
        <f>SUM(K6*N6)</f>
        <v>2157</v>
      </c>
      <c r="R6" s="126">
        <v>1</v>
      </c>
      <c r="S6" s="129" t="s">
        <v>560</v>
      </c>
      <c r="T6" s="128" t="s">
        <v>5625</v>
      </c>
      <c r="U6" s="123">
        <v>3173</v>
      </c>
      <c r="V6" s="126" t="s">
        <v>1714</v>
      </c>
      <c r="W6" s="123">
        <f>SUM(R6*U6)</f>
        <v>3173</v>
      </c>
      <c r="AA6" s="165" t="s">
        <v>5706</v>
      </c>
      <c r="AL6" s="120"/>
      <c r="AM6" s="120"/>
      <c r="AN6" s="120" t="s">
        <v>5738</v>
      </c>
      <c r="AO6" s="120"/>
      <c r="AP6" s="120" t="s">
        <v>5739</v>
      </c>
      <c r="AQ6" s="201"/>
      <c r="AR6" s="211">
        <f>4.5*6.42*2</f>
        <v>57.78</v>
      </c>
      <c r="AT6" s="120">
        <f>(4.5+6.42)*2</f>
        <v>21.84</v>
      </c>
    </row>
    <row r="7" spans="1:46" ht="16.5" customHeight="1">
      <c r="A7" s="133"/>
      <c r="B7" s="134"/>
      <c r="C7" s="120" t="s">
        <v>5790</v>
      </c>
      <c r="D7" s="120"/>
      <c r="E7" s="120" t="s">
        <v>5784</v>
      </c>
      <c r="F7" s="173">
        <f>6.42*2</f>
        <v>12.84</v>
      </c>
      <c r="G7" s="182"/>
      <c r="K7" s="126">
        <v>12</v>
      </c>
      <c r="L7" s="129" t="s">
        <v>1030</v>
      </c>
      <c r="M7" s="128" t="s">
        <v>5626</v>
      </c>
      <c r="N7" s="123">
        <v>127</v>
      </c>
      <c r="O7" s="126" t="s">
        <v>1714</v>
      </c>
      <c r="P7" s="123">
        <f>SUM(K7*N7)</f>
        <v>1524</v>
      </c>
      <c r="R7" s="126">
        <v>12</v>
      </c>
      <c r="S7" s="129" t="s">
        <v>1030</v>
      </c>
      <c r="T7" s="128" t="s">
        <v>5626</v>
      </c>
      <c r="U7" s="123">
        <v>173</v>
      </c>
      <c r="V7" s="126" t="s">
        <v>1714</v>
      </c>
      <c r="W7" s="123">
        <f>SUM(R7*U7)</f>
        <v>2076</v>
      </c>
      <c r="AA7" s="165" t="s">
        <v>5707</v>
      </c>
      <c r="AL7" s="120"/>
      <c r="AM7" s="120"/>
      <c r="AN7" s="120" t="s">
        <v>5740</v>
      </c>
      <c r="AO7" s="120"/>
      <c r="AP7" s="120" t="s">
        <v>5741</v>
      </c>
      <c r="AQ7" s="201"/>
      <c r="AR7" s="212">
        <f>6.42*2</f>
        <v>12.84</v>
      </c>
      <c r="AT7" s="165">
        <f>AT6/3</f>
        <v>7.28</v>
      </c>
    </row>
    <row r="8" spans="1:46" ht="16.5" customHeight="1">
      <c r="A8" s="133"/>
      <c r="B8" s="134"/>
      <c r="C8" s="120" t="s">
        <v>5740</v>
      </c>
      <c r="D8" s="120"/>
      <c r="E8" s="120" t="s">
        <v>5741</v>
      </c>
      <c r="F8" s="120">
        <f>3.42*2</f>
        <v>6.84</v>
      </c>
      <c r="G8" s="182"/>
      <c r="K8" s="126"/>
      <c r="L8" s="156" t="s">
        <v>657</v>
      </c>
      <c r="M8" s="157" t="s">
        <v>5627</v>
      </c>
      <c r="N8" s="158"/>
      <c r="O8" s="156" t="s">
        <v>657</v>
      </c>
      <c r="P8" s="158">
        <v>55.3</v>
      </c>
      <c r="R8" s="126"/>
      <c r="S8" s="156" t="s">
        <v>657</v>
      </c>
      <c r="T8" s="157" t="s">
        <v>5627</v>
      </c>
      <c r="U8" s="158"/>
      <c r="V8" s="156" t="s">
        <v>657</v>
      </c>
      <c r="W8" s="158">
        <v>55.3</v>
      </c>
      <c r="AA8" s="165" t="s">
        <v>5708</v>
      </c>
      <c r="AL8" s="120"/>
      <c r="AM8" s="120"/>
      <c r="AN8" s="120" t="s">
        <v>5742</v>
      </c>
      <c r="AO8" s="120"/>
      <c r="AP8" s="120" t="s">
        <v>5743</v>
      </c>
      <c r="AQ8" s="201"/>
      <c r="AR8" s="211">
        <f>4.5*2</f>
        <v>9</v>
      </c>
      <c r="AT8" s="165">
        <f>AT7*0.6</f>
        <v>4.3680000000000003</v>
      </c>
    </row>
    <row r="9" spans="1:46" ht="19.5" customHeight="1">
      <c r="A9" s="133"/>
      <c r="B9" s="134"/>
      <c r="C9" s="120" t="s">
        <v>5791</v>
      </c>
      <c r="D9" s="120"/>
      <c r="E9" s="120" t="s">
        <v>5785</v>
      </c>
      <c r="F9" s="120">
        <f>4*3.42</f>
        <v>13.68</v>
      </c>
      <c r="G9" s="182"/>
      <c r="K9" s="126"/>
      <c r="L9" s="156" t="s">
        <v>657</v>
      </c>
      <c r="M9" s="157" t="s">
        <v>5614</v>
      </c>
      <c r="N9" s="158"/>
      <c r="O9" s="156" t="s">
        <v>657</v>
      </c>
      <c r="P9" s="158">
        <v>24</v>
      </c>
      <c r="R9" s="126"/>
      <c r="S9" s="156" t="s">
        <v>657</v>
      </c>
      <c r="T9" s="157" t="s">
        <v>5614</v>
      </c>
      <c r="U9" s="158"/>
      <c r="V9" s="156" t="s">
        <v>657</v>
      </c>
      <c r="W9" s="158">
        <v>24</v>
      </c>
      <c r="AL9" s="120"/>
      <c r="AM9" s="120"/>
      <c r="AN9" s="120" t="s">
        <v>5744</v>
      </c>
      <c r="AO9" s="120"/>
      <c r="AP9" s="120" t="s">
        <v>5745</v>
      </c>
      <c r="AQ9" s="201"/>
      <c r="AR9" s="211">
        <f>4*4.5</f>
        <v>18</v>
      </c>
    </row>
    <row r="10" spans="1:46" ht="20.25" customHeight="1">
      <c r="A10" s="133"/>
      <c r="B10" s="134"/>
      <c r="C10" s="120" t="s">
        <v>5792</v>
      </c>
      <c r="D10" s="120"/>
      <c r="E10" s="120" t="s">
        <v>5786</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5709</v>
      </c>
      <c r="AC10" s="168" t="s">
        <v>5710</v>
      </c>
      <c r="AD10" s="166">
        <v>51.4</v>
      </c>
      <c r="AE10" s="165" t="s">
        <v>5709</v>
      </c>
      <c r="AF10" s="166">
        <f t="shared" ref="AF10:AF15" si="0">AA10*AD10</f>
        <v>501.15</v>
      </c>
      <c r="AL10" s="120"/>
      <c r="AM10" s="120"/>
      <c r="AN10" s="120" t="s">
        <v>5746</v>
      </c>
      <c r="AO10" s="120"/>
      <c r="AP10" s="120" t="s">
        <v>5747</v>
      </c>
      <c r="AQ10" s="201"/>
      <c r="AR10" s="211">
        <f>2*3*2.67</f>
        <v>16.02</v>
      </c>
    </row>
    <row r="11" spans="1:46" ht="15.75" customHeight="1">
      <c r="A11" s="133"/>
      <c r="B11" s="134"/>
      <c r="C11" s="120" t="s">
        <v>5746</v>
      </c>
      <c r="D11" s="120"/>
      <c r="E11" s="120" t="s">
        <v>5747</v>
      </c>
      <c r="F11" s="120">
        <f>SUM(F6:F10)</f>
        <v>93.2928</v>
      </c>
      <c r="G11" s="182"/>
      <c r="K11" s="126"/>
      <c r="L11" s="129"/>
      <c r="M11" s="128" t="s">
        <v>5615</v>
      </c>
      <c r="N11" s="123"/>
      <c r="O11" s="126"/>
      <c r="P11" s="123">
        <f>P10*1%</f>
        <v>94.87</v>
      </c>
      <c r="R11" s="126"/>
      <c r="S11" s="129"/>
      <c r="T11" s="128" t="s">
        <v>5615</v>
      </c>
      <c r="U11" s="123"/>
      <c r="V11" s="126"/>
      <c r="W11" s="123">
        <f>W10*1%</f>
        <v>123.49</v>
      </c>
      <c r="AA11" s="166">
        <v>0.28000000000000003</v>
      </c>
      <c r="AB11" s="165" t="s">
        <v>5711</v>
      </c>
      <c r="AC11" s="165" t="s">
        <v>5712</v>
      </c>
      <c r="AD11" s="166">
        <v>1260</v>
      </c>
      <c r="AE11" s="165" t="s">
        <v>5711</v>
      </c>
      <c r="AF11" s="166">
        <f t="shared" si="0"/>
        <v>352.8</v>
      </c>
      <c r="AL11" s="120"/>
      <c r="AM11" s="120"/>
      <c r="AN11" s="120" t="s">
        <v>2245</v>
      </c>
      <c r="AO11" s="120"/>
      <c r="AP11" s="120" t="s">
        <v>5748</v>
      </c>
      <c r="AQ11" s="201"/>
      <c r="AR11" s="211">
        <f>SUM(AR6:AR10)</f>
        <v>113.64</v>
      </c>
    </row>
    <row r="12" spans="1:46" ht="16.5" customHeight="1">
      <c r="A12" s="133"/>
      <c r="B12" s="134"/>
      <c r="C12" s="120" t="s">
        <v>2245</v>
      </c>
      <c r="D12" s="120"/>
      <c r="E12" s="120" t="s">
        <v>5787</v>
      </c>
      <c r="F12" s="120">
        <f>F11*10%</f>
        <v>9.3292800000000007</v>
      </c>
      <c r="G12" s="182"/>
      <c r="K12" s="126"/>
      <c r="L12" s="129"/>
      <c r="M12" s="128" t="s">
        <v>5616</v>
      </c>
      <c r="N12" s="123"/>
      <c r="O12" s="126"/>
      <c r="P12" s="123">
        <v>1898</v>
      </c>
      <c r="R12" s="126"/>
      <c r="S12" s="129"/>
      <c r="T12" s="128" t="s">
        <v>5616</v>
      </c>
      <c r="U12" s="123"/>
      <c r="V12" s="126"/>
      <c r="W12" s="123">
        <v>1898</v>
      </c>
      <c r="AA12" s="166">
        <v>3</v>
      </c>
      <c r="AB12" s="165" t="s">
        <v>1030</v>
      </c>
      <c r="AC12" s="165" t="s">
        <v>5713</v>
      </c>
      <c r="AD12" s="166">
        <v>188.4</v>
      </c>
      <c r="AE12" s="165" t="s">
        <v>1030</v>
      </c>
      <c r="AF12" s="166">
        <f t="shared" si="0"/>
        <v>565.20000000000005</v>
      </c>
      <c r="AL12" s="120"/>
      <c r="AM12" s="120"/>
      <c r="AN12" s="202" t="s">
        <v>5749</v>
      </c>
      <c r="AO12" s="120"/>
      <c r="AP12" s="120" t="s">
        <v>5750</v>
      </c>
      <c r="AQ12" s="201"/>
      <c r="AR12" s="211">
        <f>AR11*10%</f>
        <v>11.364000000000001</v>
      </c>
    </row>
    <row r="13" spans="1:46" ht="15.75" customHeight="1">
      <c r="A13" s="144"/>
      <c r="B13" s="134"/>
      <c r="C13" s="202" t="s">
        <v>5749</v>
      </c>
      <c r="D13" s="120"/>
      <c r="E13" s="120" t="s">
        <v>5788</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5714</v>
      </c>
      <c r="AC13" s="165" t="s">
        <v>5715</v>
      </c>
      <c r="AD13" s="166">
        <v>67.150000000000006</v>
      </c>
      <c r="AE13" s="165" t="s">
        <v>5714</v>
      </c>
      <c r="AF13" s="166">
        <f t="shared" si="0"/>
        <v>67.150000000000006</v>
      </c>
      <c r="AL13" s="120"/>
      <c r="AM13" s="120"/>
      <c r="AN13" s="202"/>
      <c r="AO13" s="199"/>
      <c r="AP13" s="120" t="s">
        <v>5751</v>
      </c>
      <c r="AQ13" s="201"/>
      <c r="AR13" s="211">
        <f>SUM(AR11:AR12)</f>
        <v>125.004</v>
      </c>
      <c r="AS13" s="165">
        <f>AR13*1.17</f>
        <v>146.25468000000001</v>
      </c>
    </row>
    <row r="14" spans="1:46" ht="15" customHeight="1">
      <c r="A14" s="133"/>
      <c r="B14" s="134"/>
      <c r="C14" s="202"/>
      <c r="D14" s="199"/>
      <c r="E14" s="120" t="s">
        <v>5794</v>
      </c>
      <c r="F14" s="120"/>
      <c r="G14" s="182"/>
      <c r="K14" s="126"/>
      <c r="L14" s="129"/>
      <c r="M14" s="128"/>
      <c r="N14" s="123"/>
      <c r="O14" s="126"/>
      <c r="P14" s="130"/>
      <c r="R14" s="126"/>
      <c r="S14" s="129"/>
      <c r="T14" s="128"/>
      <c r="U14" s="123"/>
      <c r="V14" s="126"/>
      <c r="W14" s="130"/>
      <c r="AA14" s="166">
        <v>0.22</v>
      </c>
      <c r="AB14" s="165" t="s">
        <v>5716</v>
      </c>
      <c r="AC14" s="165" t="s">
        <v>5717</v>
      </c>
      <c r="AD14" s="166">
        <v>526</v>
      </c>
      <c r="AE14" s="165" t="s">
        <v>5716</v>
      </c>
      <c r="AF14" s="166">
        <f t="shared" si="0"/>
        <v>115.72</v>
      </c>
      <c r="AL14" s="120"/>
      <c r="AM14" s="120"/>
      <c r="AN14" s="120" t="s">
        <v>5752</v>
      </c>
      <c r="AO14" s="120"/>
      <c r="AP14" s="120" t="s">
        <v>5753</v>
      </c>
      <c r="AQ14" s="201"/>
      <c r="AR14" s="120"/>
    </row>
    <row r="15" spans="1:46" ht="20.25" customHeight="1">
      <c r="A15" s="133"/>
      <c r="B15" s="134"/>
      <c r="C15" s="120" t="s">
        <v>5793</v>
      </c>
      <c r="D15" s="120"/>
      <c r="E15" s="120" t="s">
        <v>5789</v>
      </c>
      <c r="F15" s="133"/>
      <c r="K15" s="1143" t="s">
        <v>5617</v>
      </c>
      <c r="L15" s="1143"/>
      <c r="M15" s="1143"/>
      <c r="N15" s="1143"/>
      <c r="O15" s="1143"/>
      <c r="P15" s="1143"/>
      <c r="AA15" s="166">
        <v>6</v>
      </c>
      <c r="AB15" s="165" t="s">
        <v>5718</v>
      </c>
      <c r="AC15" s="165" t="s">
        <v>5720</v>
      </c>
      <c r="AD15" s="166">
        <v>56.7</v>
      </c>
      <c r="AE15" s="165" t="s">
        <v>5718</v>
      </c>
      <c r="AF15" s="166">
        <f t="shared" si="0"/>
        <v>340.2</v>
      </c>
      <c r="AL15" s="203">
        <v>146.25</v>
      </c>
      <c r="AM15" s="184" t="s">
        <v>1645</v>
      </c>
      <c r="AN15" s="139" t="s">
        <v>5477</v>
      </c>
      <c r="AO15" s="157"/>
      <c r="AP15" s="126">
        <f>D16</f>
        <v>57.6</v>
      </c>
      <c r="AQ15" s="184" t="s">
        <v>1645</v>
      </c>
      <c r="AR15" s="173">
        <f>AL15*AP15</f>
        <v>8424</v>
      </c>
    </row>
    <row r="16" spans="1:46" ht="20.25" customHeight="1">
      <c r="A16" s="133">
        <v>120.07</v>
      </c>
      <c r="B16" s="134" t="s">
        <v>913</v>
      </c>
      <c r="C16" s="139" t="s">
        <v>5477</v>
      </c>
      <c r="D16" s="216">
        <v>57.6</v>
      </c>
      <c r="E16" s="137" t="s">
        <v>913</v>
      </c>
      <c r="F16" s="133">
        <f>D16*A16</f>
        <v>6916.03</v>
      </c>
      <c r="H16" s="165">
        <f>125*1.17</f>
        <v>146.25</v>
      </c>
      <c r="K16" s="126">
        <v>3</v>
      </c>
      <c r="L16" s="156" t="s">
        <v>1030</v>
      </c>
      <c r="M16" s="157" t="s">
        <v>5618</v>
      </c>
      <c r="N16" s="158">
        <v>750</v>
      </c>
      <c r="O16" s="156" t="s">
        <v>1714</v>
      </c>
      <c r="P16" s="158">
        <f>N16*K16</f>
        <v>2250</v>
      </c>
      <c r="T16" s="125" t="s">
        <v>5643</v>
      </c>
      <c r="AA16" s="169"/>
      <c r="AF16" s="170">
        <f>SUM(AF10:AF15)</f>
        <v>1942.22</v>
      </c>
      <c r="AL16" s="203">
        <v>6.2</v>
      </c>
      <c r="AM16" s="203" t="s">
        <v>1645</v>
      </c>
      <c r="AN16" s="157" t="s">
        <v>5478</v>
      </c>
      <c r="AO16" s="157"/>
      <c r="AP16" s="126">
        <f>D41</f>
        <v>562</v>
      </c>
      <c r="AQ16" s="184" t="s">
        <v>1645</v>
      </c>
      <c r="AR16" s="173">
        <f t="shared" ref="AR16:AR43" si="1">AL16*AP16</f>
        <v>3484.4</v>
      </c>
    </row>
    <row r="17" spans="1:44" ht="71.25" customHeight="1">
      <c r="A17" s="144"/>
      <c r="B17" s="134"/>
      <c r="C17" s="140" t="s">
        <v>4163</v>
      </c>
      <c r="D17" s="136"/>
      <c r="E17" s="137"/>
      <c r="F17" s="133"/>
      <c r="K17" s="126">
        <v>3</v>
      </c>
      <c r="L17" s="156" t="s">
        <v>1030</v>
      </c>
      <c r="M17" s="157" t="s">
        <v>5619</v>
      </c>
      <c r="N17" s="158">
        <v>15</v>
      </c>
      <c r="O17" s="156" t="s">
        <v>1714</v>
      </c>
      <c r="P17" s="158">
        <f>N17*K17</f>
        <v>45</v>
      </c>
      <c r="R17" s="1145" t="s">
        <v>5795</v>
      </c>
      <c r="S17" s="1145"/>
      <c r="T17" s="1145"/>
      <c r="U17" s="1145"/>
      <c r="V17" s="1145"/>
      <c r="W17" s="1145"/>
      <c r="AA17" s="169"/>
      <c r="AC17" s="165" t="s">
        <v>5444</v>
      </c>
      <c r="AF17" s="166">
        <f>AF16*2%</f>
        <v>38.840000000000003</v>
      </c>
      <c r="AL17" s="203">
        <v>6.2</v>
      </c>
      <c r="AM17" s="203" t="s">
        <v>1645</v>
      </c>
      <c r="AN17" s="157" t="s">
        <v>5479</v>
      </c>
      <c r="AO17" s="157"/>
      <c r="AP17" s="126">
        <f>D42</f>
        <v>10</v>
      </c>
      <c r="AQ17" s="184" t="s">
        <v>1645</v>
      </c>
      <c r="AR17" s="173">
        <f t="shared" si="1"/>
        <v>62</v>
      </c>
    </row>
    <row r="18" spans="1:44" ht="63">
      <c r="A18" s="133"/>
      <c r="B18" s="134"/>
      <c r="C18" s="139" t="s">
        <v>4164</v>
      </c>
      <c r="D18" s="136"/>
      <c r="E18" s="137"/>
      <c r="F18" s="133"/>
      <c r="K18" s="126">
        <v>6</v>
      </c>
      <c r="L18" s="156" t="s">
        <v>1030</v>
      </c>
      <c r="M18" s="157" t="s">
        <v>5620</v>
      </c>
      <c r="N18" s="158">
        <v>3</v>
      </c>
      <c r="O18" s="156" t="s">
        <v>1714</v>
      </c>
      <c r="P18" s="158">
        <f>N18*K18</f>
        <v>18</v>
      </c>
      <c r="R18" s="126">
        <v>1</v>
      </c>
      <c r="S18" s="129" t="s">
        <v>560</v>
      </c>
      <c r="T18" s="214" t="s">
        <v>5797</v>
      </c>
      <c r="U18" s="123">
        <v>2262</v>
      </c>
      <c r="V18" s="126" t="s">
        <v>1714</v>
      </c>
      <c r="W18" s="123">
        <f>SUM(R18*U18)</f>
        <v>2262</v>
      </c>
      <c r="AA18" s="171"/>
      <c r="AC18" s="165" t="s">
        <v>915</v>
      </c>
      <c r="AF18" s="166">
        <f>AF24</f>
        <v>1824</v>
      </c>
      <c r="AL18" s="120"/>
      <c r="AM18" s="184"/>
      <c r="AN18" s="157" t="s">
        <v>5754</v>
      </c>
      <c r="AO18" s="157"/>
      <c r="AP18" s="126"/>
      <c r="AQ18" s="184"/>
      <c r="AR18" s="173">
        <f t="shared" si="1"/>
        <v>0</v>
      </c>
    </row>
    <row r="19" spans="1:44" ht="31.5">
      <c r="A19" s="133"/>
      <c r="B19" s="134"/>
      <c r="C19" s="139" t="s">
        <v>5240</v>
      </c>
      <c r="D19" s="136"/>
      <c r="E19" s="137"/>
      <c r="F19" s="133"/>
      <c r="K19" s="126">
        <v>1</v>
      </c>
      <c r="L19" s="156" t="s">
        <v>560</v>
      </c>
      <c r="M19" s="157" t="s">
        <v>5621</v>
      </c>
      <c r="N19" s="158">
        <v>850</v>
      </c>
      <c r="O19" s="156" t="s">
        <v>1714</v>
      </c>
      <c r="P19" s="158">
        <f>N19*K19</f>
        <v>850</v>
      </c>
      <c r="R19" s="126">
        <v>1</v>
      </c>
      <c r="S19" s="129" t="s">
        <v>560</v>
      </c>
      <c r="T19" s="128" t="s">
        <v>5625</v>
      </c>
      <c r="U19" s="123">
        <v>3173</v>
      </c>
      <c r="V19" s="126" t="s">
        <v>1714</v>
      </c>
      <c r="W19" s="123">
        <f>SUM(R19*U19)</f>
        <v>3173</v>
      </c>
      <c r="AA19" s="169"/>
      <c r="AC19" s="165" t="s">
        <v>2245</v>
      </c>
      <c r="AF19" s="170">
        <f>SUM(AF16:AF18)</f>
        <v>3805.06</v>
      </c>
      <c r="AL19" s="120"/>
      <c r="AM19" s="184"/>
      <c r="AN19" s="157" t="s">
        <v>5755</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5796</v>
      </c>
      <c r="U20" s="123">
        <v>829</v>
      </c>
      <c r="V20" s="126" t="s">
        <v>1714</v>
      </c>
      <c r="W20" s="123">
        <f>SUM(R20*U20)</f>
        <v>2487</v>
      </c>
      <c r="AA20" s="169"/>
      <c r="AC20" s="172" t="s">
        <v>5721</v>
      </c>
      <c r="AD20" s="170">
        <v>3805</v>
      </c>
      <c r="AF20" s="170"/>
      <c r="AL20" s="120"/>
      <c r="AM20" s="184"/>
      <c r="AN20" s="157" t="s">
        <v>5756</v>
      </c>
      <c r="AO20" s="157"/>
      <c r="AP20" s="126"/>
      <c r="AQ20" s="184"/>
      <c r="AR20" s="173">
        <f t="shared" si="1"/>
        <v>0</v>
      </c>
    </row>
    <row r="21" spans="1:44" ht="31.5">
      <c r="A21" s="133"/>
      <c r="B21" s="134"/>
      <c r="C21" s="139" t="s">
        <v>4166</v>
      </c>
      <c r="D21" s="136"/>
      <c r="E21" s="137"/>
      <c r="F21" s="133"/>
      <c r="K21" s="126"/>
      <c r="L21" s="156"/>
      <c r="M21" s="157"/>
      <c r="N21" s="158"/>
      <c r="O21" s="156"/>
      <c r="P21" s="159">
        <f>SUM(P16:P19)</f>
        <v>3163</v>
      </c>
      <c r="R21" s="126">
        <v>6</v>
      </c>
      <c r="S21" s="129" t="s">
        <v>1030</v>
      </c>
      <c r="T21" s="128" t="s">
        <v>5626</v>
      </c>
      <c r="U21" s="123">
        <v>173</v>
      </c>
      <c r="V21" s="126" t="s">
        <v>1714</v>
      </c>
      <c r="W21" s="123">
        <f>SUM(R21*U21)</f>
        <v>1038</v>
      </c>
      <c r="AA21" s="171" t="s">
        <v>5443</v>
      </c>
      <c r="AL21" s="120"/>
      <c r="AM21" s="184"/>
      <c r="AN21" s="157" t="s">
        <v>5757</v>
      </c>
      <c r="AO21" s="157"/>
      <c r="AP21" s="126"/>
      <c r="AQ21" s="184"/>
      <c r="AR21" s="173">
        <f t="shared" si="1"/>
        <v>0</v>
      </c>
    </row>
    <row r="22" spans="1:44" ht="31.5">
      <c r="A22" s="133"/>
      <c r="B22" s="134"/>
      <c r="C22" s="139" t="s">
        <v>5239</v>
      </c>
      <c r="D22" s="136"/>
      <c r="E22" s="137"/>
      <c r="F22" s="133"/>
      <c r="K22" s="126"/>
      <c r="L22" s="156"/>
      <c r="M22" s="157" t="s">
        <v>5622</v>
      </c>
      <c r="N22" s="158"/>
      <c r="O22" s="156"/>
      <c r="P22" s="158">
        <f>P21*2/100</f>
        <v>63.26</v>
      </c>
      <c r="R22" s="126"/>
      <c r="S22" s="156" t="s">
        <v>657</v>
      </c>
      <c r="T22" s="120" t="s">
        <v>5627</v>
      </c>
      <c r="U22" s="158"/>
      <c r="V22" s="156" t="s">
        <v>657</v>
      </c>
      <c r="W22" s="158">
        <v>55.3</v>
      </c>
      <c r="AA22" s="173">
        <v>1</v>
      </c>
      <c r="AB22" s="165" t="s">
        <v>5634</v>
      </c>
      <c r="AC22" s="165" t="s">
        <v>5445</v>
      </c>
      <c r="AD22" s="166">
        <v>712</v>
      </c>
      <c r="AE22" s="165" t="s">
        <v>3617</v>
      </c>
      <c r="AF22" s="166">
        <f>AA22*AD22</f>
        <v>712</v>
      </c>
      <c r="AL22" s="203">
        <v>8</v>
      </c>
      <c r="AM22" s="184" t="s">
        <v>826</v>
      </c>
      <c r="AN22" s="157" t="s">
        <v>5781</v>
      </c>
      <c r="AO22" s="157"/>
      <c r="AP22" s="213">
        <f>D48</f>
        <v>115</v>
      </c>
      <c r="AQ22" s="184" t="s">
        <v>826</v>
      </c>
      <c r="AR22" s="173">
        <f t="shared" si="1"/>
        <v>920</v>
      </c>
    </row>
    <row r="23" spans="1:44" ht="19.5" customHeight="1">
      <c r="A23" s="133"/>
      <c r="B23" s="134"/>
      <c r="C23" s="139" t="s">
        <v>5238</v>
      </c>
      <c r="D23" s="136"/>
      <c r="E23" s="137"/>
      <c r="F23" s="133"/>
      <c r="K23" s="126"/>
      <c r="L23" s="156"/>
      <c r="M23" s="157" t="s">
        <v>915</v>
      </c>
      <c r="N23" s="158"/>
      <c r="O23" s="156"/>
      <c r="P23" s="158">
        <f>P31</f>
        <v>528.5</v>
      </c>
      <c r="R23" s="126"/>
      <c r="S23" s="156" t="s">
        <v>657</v>
      </c>
      <c r="T23" s="120" t="s">
        <v>5614</v>
      </c>
      <c r="U23" s="158"/>
      <c r="V23" s="156" t="s">
        <v>657</v>
      </c>
      <c r="W23" s="158">
        <v>24</v>
      </c>
      <c r="AA23" s="166">
        <v>2</v>
      </c>
      <c r="AB23" s="165" t="s">
        <v>1432</v>
      </c>
      <c r="AC23" s="165" t="s">
        <v>5719</v>
      </c>
      <c r="AD23" s="166">
        <v>556</v>
      </c>
      <c r="AE23" s="165" t="s">
        <v>3617</v>
      </c>
      <c r="AF23" s="166">
        <f>AA23*AD23</f>
        <v>1112</v>
      </c>
      <c r="AL23" s="203">
        <v>15.4</v>
      </c>
      <c r="AM23" s="184" t="s">
        <v>913</v>
      </c>
      <c r="AN23" s="157" t="s">
        <v>5770</v>
      </c>
      <c r="AO23" s="157"/>
      <c r="AP23" s="126">
        <f>AP15</f>
        <v>57.6</v>
      </c>
      <c r="AQ23" s="184" t="s">
        <v>913</v>
      </c>
      <c r="AR23" s="173">
        <f t="shared" si="1"/>
        <v>887.04</v>
      </c>
    </row>
    <row r="24" spans="1:44" ht="15.75">
      <c r="A24" s="133"/>
      <c r="B24" s="134"/>
      <c r="C24" s="139" t="s">
        <v>5237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5758</v>
      </c>
      <c r="AO24" s="157"/>
      <c r="AP24" s="126"/>
      <c r="AQ24" s="184"/>
      <c r="AR24" s="173">
        <f t="shared" si="1"/>
        <v>0</v>
      </c>
    </row>
    <row r="25" spans="1:44" ht="15.75">
      <c r="A25" s="133"/>
      <c r="B25" s="134"/>
      <c r="C25" s="139" t="s">
        <v>5236</v>
      </c>
      <c r="D25" s="136"/>
      <c r="E25" s="137"/>
      <c r="F25" s="133"/>
      <c r="K25" s="126"/>
      <c r="L25" s="156"/>
      <c r="M25" s="157"/>
      <c r="N25" s="158"/>
      <c r="O25" s="125" t="s">
        <v>5446</v>
      </c>
      <c r="P25" s="159">
        <v>3639</v>
      </c>
      <c r="R25" s="126"/>
      <c r="S25" s="129"/>
      <c r="T25" s="128" t="s">
        <v>5615</v>
      </c>
      <c r="U25" s="123"/>
      <c r="V25" s="126"/>
      <c r="W25" s="123">
        <f>W24*1%</f>
        <v>90.39</v>
      </c>
      <c r="AA25" s="169"/>
      <c r="AL25" s="204">
        <v>3</v>
      </c>
      <c r="AM25" s="184" t="s">
        <v>1432</v>
      </c>
      <c r="AN25" s="157" t="s">
        <v>5230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5616</v>
      </c>
      <c r="U26" s="123"/>
      <c r="V26" s="126"/>
      <c r="W26" s="123">
        <v>1898</v>
      </c>
      <c r="AA26" s="171"/>
      <c r="AL26" s="204">
        <v>1</v>
      </c>
      <c r="AM26" s="184" t="s">
        <v>1394</v>
      </c>
      <c r="AN26" s="157" t="s">
        <v>5729</v>
      </c>
      <c r="AO26" s="157"/>
      <c r="AP26" s="126">
        <f t="shared" ref="AP26:AP31" si="2">D52</f>
        <v>77.599999999999994</v>
      </c>
      <c r="AQ26" s="184" t="s">
        <v>1398</v>
      </c>
      <c r="AR26" s="173">
        <f t="shared" si="1"/>
        <v>77.599999999999994</v>
      </c>
    </row>
    <row r="27" spans="1:44" ht="15.75">
      <c r="A27" s="133"/>
      <c r="B27" s="134"/>
      <c r="C27" s="140" t="s">
        <v>4172</v>
      </c>
      <c r="D27" s="136"/>
      <c r="E27" s="137"/>
      <c r="F27" s="133"/>
      <c r="K27" s="123"/>
      <c r="L27" s="157"/>
      <c r="M27" s="157" t="s">
        <v>2643</v>
      </c>
      <c r="N27" s="158"/>
      <c r="O27" s="156"/>
      <c r="P27" s="158"/>
      <c r="R27" s="126"/>
      <c r="S27" s="129"/>
      <c r="T27" s="128"/>
      <c r="U27" s="123"/>
      <c r="V27" s="126"/>
      <c r="W27" s="130">
        <f>SUM(W24:W26)</f>
        <v>11027.69</v>
      </c>
      <c r="AA27" s="171" t="s">
        <v>5702</v>
      </c>
      <c r="AL27" s="204">
        <v>12</v>
      </c>
      <c r="AM27" s="184" t="s">
        <v>1432</v>
      </c>
      <c r="AN27" s="157" t="s">
        <v>5484</v>
      </c>
      <c r="AO27" s="157"/>
      <c r="AP27" s="126">
        <f t="shared" si="2"/>
        <v>190.2</v>
      </c>
      <c r="AQ27" s="184" t="s">
        <v>1398</v>
      </c>
      <c r="AR27" s="173">
        <f t="shared" si="1"/>
        <v>2282.4</v>
      </c>
    </row>
    <row r="28" spans="1:44" ht="18" customHeight="1">
      <c r="A28" s="133"/>
      <c r="B28" s="134"/>
      <c r="C28" s="139" t="s">
        <v>4173</v>
      </c>
      <c r="D28" s="136"/>
      <c r="E28" s="137"/>
      <c r="F28" s="133"/>
      <c r="K28" s="123"/>
      <c r="L28" s="158">
        <v>1</v>
      </c>
      <c r="M28" s="157" t="s">
        <v>5628</v>
      </c>
      <c r="N28" s="175">
        <f>Elec.Data!I36</f>
        <v>826</v>
      </c>
      <c r="O28" s="156"/>
      <c r="P28" s="158">
        <f>L28*N28</f>
        <v>826</v>
      </c>
      <c r="R28" s="126"/>
      <c r="S28" s="129"/>
      <c r="T28" s="128"/>
      <c r="U28" s="123"/>
      <c r="V28" s="126"/>
      <c r="W28" s="130">
        <v>11028</v>
      </c>
      <c r="X28" s="165">
        <f>W28*5</f>
        <v>55140</v>
      </c>
      <c r="AA28" s="171" t="s">
        <v>5703</v>
      </c>
      <c r="AL28" s="204">
        <v>1</v>
      </c>
      <c r="AM28" s="184" t="s">
        <v>1394</v>
      </c>
      <c r="AN28" s="157" t="s">
        <v>5732</v>
      </c>
      <c r="AO28" s="157"/>
      <c r="AP28" s="126">
        <f t="shared" si="2"/>
        <v>85.2</v>
      </c>
      <c r="AQ28" s="184" t="s">
        <v>1398</v>
      </c>
      <c r="AR28" s="173">
        <f t="shared" si="1"/>
        <v>85.2</v>
      </c>
    </row>
    <row r="29" spans="1:44" ht="20.25" customHeight="1">
      <c r="A29" s="133"/>
      <c r="B29" s="134"/>
      <c r="C29" s="139" t="s">
        <v>4174</v>
      </c>
      <c r="D29" s="136"/>
      <c r="E29" s="137"/>
      <c r="F29" s="133"/>
      <c r="K29" s="123"/>
      <c r="L29" s="158">
        <v>2</v>
      </c>
      <c r="M29" s="157" t="s">
        <v>2586</v>
      </c>
      <c r="N29" s="175">
        <f>Elec.Data!I38</f>
        <v>644</v>
      </c>
      <c r="O29" s="156"/>
      <c r="P29" s="158">
        <f>L29*N29</f>
        <v>1288</v>
      </c>
      <c r="AL29" s="204">
        <v>4</v>
      </c>
      <c r="AM29" s="184" t="s">
        <v>1432</v>
      </c>
      <c r="AN29" s="157" t="s">
        <v>5485</v>
      </c>
      <c r="AO29" s="157"/>
      <c r="AP29" s="126">
        <f t="shared" si="2"/>
        <v>67.8</v>
      </c>
      <c r="AQ29" s="184" t="s">
        <v>1398</v>
      </c>
      <c r="AR29" s="173">
        <f t="shared" si="1"/>
        <v>271.2</v>
      </c>
    </row>
    <row r="30" spans="1:44" ht="15.75">
      <c r="A30" s="133"/>
      <c r="B30" s="134"/>
      <c r="C30" s="139" t="s">
        <v>5235</v>
      </c>
      <c r="D30" s="136"/>
      <c r="E30" s="137"/>
      <c r="F30" s="133"/>
      <c r="K30" s="123"/>
      <c r="L30" s="158"/>
      <c r="M30" s="157"/>
      <c r="N30" s="175"/>
      <c r="O30" s="156"/>
      <c r="P30" s="158">
        <f>SUM(P28:P29)</f>
        <v>2114</v>
      </c>
      <c r="R30" s="1145" t="s">
        <v>5798</v>
      </c>
      <c r="S30" s="1145"/>
      <c r="T30" s="1145"/>
      <c r="U30" s="1145"/>
      <c r="V30" s="1145"/>
      <c r="W30" s="1145"/>
      <c r="AL30" s="204">
        <v>1</v>
      </c>
      <c r="AM30" s="184" t="s">
        <v>1394</v>
      </c>
      <c r="AN30" s="157" t="s">
        <v>5486</v>
      </c>
      <c r="AO30" s="157"/>
      <c r="AP30" s="126">
        <f t="shared" si="2"/>
        <v>38</v>
      </c>
      <c r="AQ30" s="184" t="s">
        <v>1398</v>
      </c>
      <c r="AR30" s="173">
        <f t="shared" si="1"/>
        <v>38</v>
      </c>
    </row>
    <row r="31" spans="1:44" ht="33" customHeight="1">
      <c r="A31" s="133"/>
      <c r="B31" s="134"/>
      <c r="C31" s="139" t="s">
        <v>4176</v>
      </c>
      <c r="D31" s="136"/>
      <c r="E31" s="137"/>
      <c r="F31" s="133"/>
      <c r="K31" s="123"/>
      <c r="L31" s="158"/>
      <c r="M31" s="157"/>
      <c r="N31" s="175"/>
      <c r="O31" s="156"/>
      <c r="P31" s="159">
        <f>P30/4</f>
        <v>528.5</v>
      </c>
      <c r="R31" s="126">
        <v>1</v>
      </c>
      <c r="S31" s="129" t="s">
        <v>560</v>
      </c>
      <c r="T31" s="214" t="s">
        <v>5799</v>
      </c>
      <c r="U31" s="123">
        <v>6850</v>
      </c>
      <c r="V31" s="126" t="s">
        <v>1714</v>
      </c>
      <c r="W31" s="123">
        <f>SUM(R31*U31)</f>
        <v>6850</v>
      </c>
      <c r="AL31" s="204">
        <v>4</v>
      </c>
      <c r="AM31" s="184" t="s">
        <v>1432</v>
      </c>
      <c r="AN31" s="157" t="s">
        <v>5733</v>
      </c>
      <c r="AO31" s="157"/>
      <c r="AP31" s="126">
        <f t="shared" si="2"/>
        <v>580</v>
      </c>
      <c r="AQ31" s="184" t="s">
        <v>1398</v>
      </c>
      <c r="AR31" s="173">
        <f t="shared" si="1"/>
        <v>2320</v>
      </c>
    </row>
    <row r="32" spans="1:44" ht="31.5">
      <c r="A32" s="133"/>
      <c r="B32" s="134"/>
      <c r="C32" s="139" t="s">
        <v>4177</v>
      </c>
      <c r="D32" s="136"/>
      <c r="E32" s="137"/>
      <c r="F32" s="133"/>
      <c r="R32" s="126">
        <v>1</v>
      </c>
      <c r="S32" s="129" t="s">
        <v>560</v>
      </c>
      <c r="T32" s="128" t="s">
        <v>5800</v>
      </c>
      <c r="U32" s="123">
        <v>8830</v>
      </c>
      <c r="V32" s="126" t="s">
        <v>1714</v>
      </c>
      <c r="W32" s="123">
        <f>SUM(R32*U32)</f>
        <v>8830</v>
      </c>
      <c r="AL32" s="204">
        <v>1</v>
      </c>
      <c r="AM32" s="184" t="s">
        <v>1394</v>
      </c>
      <c r="AN32" s="157" t="s">
        <v>5734</v>
      </c>
      <c r="AO32" s="157"/>
      <c r="AP32" s="126">
        <f>D59</f>
        <v>258</v>
      </c>
      <c r="AQ32" s="184" t="s">
        <v>1398</v>
      </c>
      <c r="AR32" s="173">
        <f t="shared" si="1"/>
        <v>258</v>
      </c>
    </row>
    <row r="33" spans="1:44" ht="31.5">
      <c r="A33" s="133"/>
      <c r="B33" s="134"/>
      <c r="C33" s="139" t="s">
        <v>4178</v>
      </c>
      <c r="D33" s="136"/>
      <c r="E33" s="137"/>
      <c r="F33" s="133"/>
      <c r="K33" s="166">
        <v>1</v>
      </c>
      <c r="L33" s="165" t="s">
        <v>5630</v>
      </c>
      <c r="M33" s="168" t="s">
        <v>5631</v>
      </c>
      <c r="N33" s="166">
        <v>5800</v>
      </c>
      <c r="O33" s="166" t="s">
        <v>5632</v>
      </c>
      <c r="P33" s="166">
        <f>N33*K33</f>
        <v>5800</v>
      </c>
      <c r="R33" s="126">
        <v>5</v>
      </c>
      <c r="S33" s="129" t="s">
        <v>560</v>
      </c>
      <c r="T33" s="128" t="s">
        <v>5801</v>
      </c>
      <c r="U33" s="123">
        <v>903</v>
      </c>
      <c r="V33" s="126" t="s">
        <v>1714</v>
      </c>
      <c r="W33" s="123">
        <f>SUM(R33*U33)</f>
        <v>4515</v>
      </c>
      <c r="AL33" s="203">
        <v>484</v>
      </c>
      <c r="AM33" s="184" t="s">
        <v>5759</v>
      </c>
      <c r="AN33" s="157" t="s">
        <v>5771</v>
      </c>
      <c r="AO33" s="157"/>
      <c r="AP33" s="126">
        <f>D60</f>
        <v>1</v>
      </c>
      <c r="AQ33" s="184" t="s">
        <v>4191</v>
      </c>
      <c r="AR33" s="173">
        <f t="shared" si="1"/>
        <v>484</v>
      </c>
    </row>
    <row r="34" spans="1:44" ht="31.5">
      <c r="A34" s="133"/>
      <c r="B34" s="134"/>
      <c r="C34" s="139" t="s">
        <v>5234</v>
      </c>
      <c r="D34" s="136"/>
      <c r="E34" s="137"/>
      <c r="F34" s="133"/>
      <c r="K34" s="166"/>
      <c r="M34" s="168" t="s">
        <v>5633</v>
      </c>
      <c r="N34" s="166"/>
      <c r="O34" s="166"/>
      <c r="P34" s="166">
        <f>P33*12%</f>
        <v>696</v>
      </c>
      <c r="R34" s="126">
        <v>8</v>
      </c>
      <c r="S34" s="129" t="s">
        <v>1030</v>
      </c>
      <c r="T34" s="128" t="s">
        <v>5626</v>
      </c>
      <c r="U34" s="123">
        <v>173</v>
      </c>
      <c r="V34" s="126" t="s">
        <v>1714</v>
      </c>
      <c r="W34" s="123">
        <f>SUM(R34*U34)</f>
        <v>1384</v>
      </c>
      <c r="AL34" s="184"/>
      <c r="AM34" s="184"/>
      <c r="AN34" s="157" t="s">
        <v>5760</v>
      </c>
      <c r="AO34" s="157"/>
      <c r="AP34" s="126">
        <f>D61</f>
        <v>0</v>
      </c>
      <c r="AQ34" s="184"/>
      <c r="AR34" s="173">
        <f t="shared" si="1"/>
        <v>0</v>
      </c>
    </row>
    <row r="35" spans="1:44" ht="15.75">
      <c r="A35" s="133"/>
      <c r="B35" s="134"/>
      <c r="C35" s="139" t="s">
        <v>4180</v>
      </c>
      <c r="D35" s="136"/>
      <c r="E35" s="137"/>
      <c r="F35" s="133"/>
      <c r="K35" s="166"/>
      <c r="M35" s="168"/>
      <c r="N35" s="166"/>
      <c r="O35" s="166"/>
      <c r="P35" s="166">
        <v>6496</v>
      </c>
      <c r="R35" s="126"/>
      <c r="S35" s="156" t="s">
        <v>657</v>
      </c>
      <c r="T35" s="120" t="s">
        <v>5627</v>
      </c>
      <c r="U35" s="158"/>
      <c r="V35" s="156" t="s">
        <v>657</v>
      </c>
      <c r="W35" s="158">
        <v>55.3</v>
      </c>
      <c r="AL35" s="203">
        <v>18.3</v>
      </c>
      <c r="AM35" s="184" t="s">
        <v>5761</v>
      </c>
      <c r="AN35" s="157" t="s">
        <v>5489</v>
      </c>
      <c r="AO35" s="205"/>
      <c r="AP35" s="126">
        <f t="shared" ref="AP35:AP43" si="3">D63</f>
        <v>20</v>
      </c>
      <c r="AQ35" s="184" t="s">
        <v>5762</v>
      </c>
      <c r="AR35" s="173">
        <f t="shared" si="1"/>
        <v>366</v>
      </c>
    </row>
    <row r="36" spans="1:44" ht="18.75" customHeight="1">
      <c r="A36" s="133"/>
      <c r="B36" s="134"/>
      <c r="C36" s="139" t="s">
        <v>4181</v>
      </c>
      <c r="D36" s="136"/>
      <c r="E36" s="137"/>
      <c r="F36" s="133"/>
      <c r="K36" s="166">
        <v>2</v>
      </c>
      <c r="L36" s="165" t="s">
        <v>5634</v>
      </c>
      <c r="M36" s="168" t="s">
        <v>5638</v>
      </c>
      <c r="N36" s="166">
        <v>5.58</v>
      </c>
      <c r="O36" s="166" t="s">
        <v>5635</v>
      </c>
      <c r="P36" s="166">
        <f>N36*K36</f>
        <v>11.16</v>
      </c>
      <c r="R36" s="126"/>
      <c r="S36" s="156" t="s">
        <v>657</v>
      </c>
      <c r="T36" s="120" t="s">
        <v>5614</v>
      </c>
      <c r="U36" s="158"/>
      <c r="V36" s="156" t="s">
        <v>657</v>
      </c>
      <c r="W36" s="158">
        <v>24</v>
      </c>
      <c r="AL36" s="203">
        <v>0.7</v>
      </c>
      <c r="AM36" s="184" t="s">
        <v>5772</v>
      </c>
      <c r="AN36" s="157" t="s">
        <v>5490</v>
      </c>
      <c r="AO36" s="157"/>
      <c r="AP36" s="126">
        <f t="shared" si="3"/>
        <v>1322</v>
      </c>
      <c r="AQ36" s="184" t="s">
        <v>5772</v>
      </c>
      <c r="AR36" s="173">
        <f t="shared" si="1"/>
        <v>925.4</v>
      </c>
    </row>
    <row r="37" spans="1:44" ht="22.5" customHeight="1">
      <c r="A37" s="133"/>
      <c r="B37" s="134"/>
      <c r="C37" s="139" t="s">
        <v>4182</v>
      </c>
      <c r="D37" s="136"/>
      <c r="E37" s="137"/>
      <c r="F37" s="133"/>
      <c r="K37" s="166">
        <v>1</v>
      </c>
      <c r="L37" s="165" t="s">
        <v>5636</v>
      </c>
      <c r="M37" s="168" t="s">
        <v>5639</v>
      </c>
      <c r="N37" s="166">
        <v>9.8000000000000007</v>
      </c>
      <c r="O37" s="166" t="s">
        <v>4202</v>
      </c>
      <c r="P37" s="166">
        <f>N37*K37</f>
        <v>9.8000000000000007</v>
      </c>
      <c r="R37" s="126"/>
      <c r="S37" s="129"/>
      <c r="T37" s="128"/>
      <c r="U37" s="123"/>
      <c r="V37" s="126"/>
      <c r="W37" s="130">
        <f>SUM(W31:W36)</f>
        <v>21658.3</v>
      </c>
      <c r="AL37" s="203">
        <v>5</v>
      </c>
      <c r="AM37" s="184" t="s">
        <v>1432</v>
      </c>
      <c r="AN37" s="157" t="s">
        <v>5773</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5615</v>
      </c>
      <c r="U38" s="123"/>
      <c r="V38" s="126"/>
      <c r="W38" s="123">
        <f>W37*1%</f>
        <v>216.58</v>
      </c>
      <c r="AL38" s="203">
        <v>1</v>
      </c>
      <c r="AM38" s="184" t="s">
        <v>4214</v>
      </c>
      <c r="AN38" s="157" t="s">
        <v>5774</v>
      </c>
      <c r="AO38" s="205"/>
      <c r="AP38" s="126">
        <f t="shared" si="3"/>
        <v>280</v>
      </c>
      <c r="AQ38" s="184" t="s">
        <v>145</v>
      </c>
      <c r="AR38" s="173">
        <f t="shared" si="1"/>
        <v>280</v>
      </c>
    </row>
    <row r="39" spans="1:44" ht="20.25" customHeight="1">
      <c r="A39" s="133"/>
      <c r="B39" s="134"/>
      <c r="C39" s="139" t="s">
        <v>5233</v>
      </c>
      <c r="D39" s="136"/>
      <c r="E39" s="137"/>
      <c r="F39" s="133"/>
      <c r="K39" s="165">
        <v>6515.56</v>
      </c>
      <c r="N39" s="166"/>
      <c r="O39" s="166"/>
      <c r="R39" s="126"/>
      <c r="S39" s="129"/>
      <c r="T39" s="128" t="s">
        <v>5616</v>
      </c>
      <c r="U39" s="123"/>
      <c r="V39" s="126"/>
      <c r="W39" s="123">
        <v>1898</v>
      </c>
      <c r="AL39" s="203">
        <v>5</v>
      </c>
      <c r="AM39" s="184" t="s">
        <v>5761</v>
      </c>
      <c r="AN39" s="157" t="s">
        <v>5775</v>
      </c>
      <c r="AO39" s="157"/>
      <c r="AP39" s="126">
        <f t="shared" si="3"/>
        <v>10.45</v>
      </c>
      <c r="AQ39" s="184" t="s">
        <v>5762</v>
      </c>
      <c r="AR39" s="173">
        <f t="shared" si="1"/>
        <v>52.25</v>
      </c>
    </row>
    <row r="40" spans="1:44" ht="31.5">
      <c r="A40" s="133"/>
      <c r="B40" s="134"/>
      <c r="C40" s="139"/>
      <c r="D40" s="136"/>
      <c r="E40" s="137"/>
      <c r="F40" s="133"/>
      <c r="M40" s="165" t="s">
        <v>5637</v>
      </c>
      <c r="N40" s="166"/>
      <c r="O40" s="166"/>
      <c r="P40" s="166">
        <f>P38*1%</f>
        <v>65.17</v>
      </c>
      <c r="R40" s="126"/>
      <c r="S40" s="129"/>
      <c r="T40" s="128"/>
      <c r="U40" s="123"/>
      <c r="V40" s="126"/>
      <c r="W40" s="130">
        <f>SUM(W37:W39)</f>
        <v>23772.880000000001</v>
      </c>
      <c r="AL40" s="203">
        <v>130.54</v>
      </c>
      <c r="AM40" s="184" t="s">
        <v>1645</v>
      </c>
      <c r="AN40" s="157" t="s">
        <v>5782</v>
      </c>
      <c r="AO40" s="157"/>
      <c r="AP40" s="126">
        <f t="shared" si="3"/>
        <v>52.5</v>
      </c>
      <c r="AQ40" s="184" t="s">
        <v>1645</v>
      </c>
      <c r="AR40" s="173">
        <f t="shared" si="1"/>
        <v>6853.35</v>
      </c>
    </row>
    <row r="41" spans="1:44" ht="32.25" customHeight="1">
      <c r="A41" s="133">
        <v>6.2</v>
      </c>
      <c r="B41" s="134" t="s">
        <v>913</v>
      </c>
      <c r="C41" s="139" t="s">
        <v>5478</v>
      </c>
      <c r="D41" s="216">
        <v>562</v>
      </c>
      <c r="E41" s="137" t="s">
        <v>913</v>
      </c>
      <c r="F41" s="133">
        <f>SUM(A41*D41)</f>
        <v>3484.4</v>
      </c>
      <c r="K41" s="165" t="s">
        <v>5629</v>
      </c>
      <c r="M41" s="165" t="s">
        <v>5637</v>
      </c>
      <c r="P41" s="166">
        <v>65.16</v>
      </c>
      <c r="W41" s="165">
        <v>23773</v>
      </c>
      <c r="X41" s="165">
        <f>W41*2</f>
        <v>47546</v>
      </c>
      <c r="AL41" s="203">
        <v>5</v>
      </c>
      <c r="AM41" s="184" t="s">
        <v>1432</v>
      </c>
      <c r="AN41" s="157" t="s">
        <v>5783</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5640</v>
      </c>
      <c r="P42" s="166">
        <f>237.25*1.5</f>
        <v>355.88</v>
      </c>
      <c r="AL42" s="203">
        <v>178.92</v>
      </c>
      <c r="AM42" s="184" t="s">
        <v>5763</v>
      </c>
      <c r="AN42" s="157" t="s">
        <v>4199</v>
      </c>
      <c r="AO42" s="157"/>
      <c r="AP42" s="126">
        <f t="shared" si="3"/>
        <v>10</v>
      </c>
      <c r="AQ42" s="184" t="s">
        <v>4200</v>
      </c>
      <c r="AR42" s="173">
        <f t="shared" si="1"/>
        <v>1789.2</v>
      </c>
    </row>
    <row r="43" spans="1:44" ht="21.75" customHeight="1">
      <c r="A43" s="133"/>
      <c r="B43" s="134"/>
      <c r="C43" s="139"/>
      <c r="D43" s="136"/>
      <c r="E43" s="137"/>
      <c r="F43" s="133"/>
      <c r="P43" s="170">
        <f>SUM(P38:P42)</f>
        <v>7003.17</v>
      </c>
      <c r="AL43" s="203">
        <v>36</v>
      </c>
      <c r="AM43" s="203" t="s">
        <v>5761</v>
      </c>
      <c r="AN43" s="157" t="s">
        <v>5764</v>
      </c>
      <c r="AO43" s="157"/>
      <c r="AP43" s="126">
        <f t="shared" si="3"/>
        <v>60.65</v>
      </c>
      <c r="AQ43" s="184" t="s">
        <v>5762</v>
      </c>
      <c r="AR43" s="173">
        <f t="shared" si="1"/>
        <v>2183.4</v>
      </c>
    </row>
    <row r="44" spans="1:44" ht="20.25" customHeight="1">
      <c r="A44" s="133"/>
      <c r="B44" s="134"/>
      <c r="C44" s="140" t="s">
        <v>4185</v>
      </c>
      <c r="D44" s="136"/>
      <c r="E44" s="137"/>
      <c r="F44" s="133"/>
      <c r="P44" s="166">
        <v>7004</v>
      </c>
      <c r="AL44" s="173"/>
      <c r="AM44" s="120"/>
      <c r="AN44" s="157" t="s">
        <v>5765</v>
      </c>
      <c r="AO44" s="157"/>
      <c r="AP44" s="158"/>
      <c r="AQ44" s="120"/>
      <c r="AR44" s="173"/>
    </row>
    <row r="45" spans="1:44" ht="20.25" customHeight="1">
      <c r="A45" s="133"/>
      <c r="B45" s="134"/>
      <c r="C45" s="139" t="s">
        <v>4186</v>
      </c>
      <c r="D45" s="136"/>
      <c r="E45" s="137"/>
      <c r="F45" s="133"/>
      <c r="AL45" s="173"/>
      <c r="AM45" s="120"/>
      <c r="AN45" s="157" t="s">
        <v>5776</v>
      </c>
      <c r="AO45" s="157"/>
      <c r="AP45" s="158"/>
      <c r="AQ45" s="120"/>
      <c r="AR45" s="173"/>
    </row>
    <row r="46" spans="1:44" ht="20.25" customHeight="1">
      <c r="A46" s="133"/>
      <c r="B46" s="134"/>
      <c r="C46" s="139" t="s">
        <v>5232</v>
      </c>
      <c r="D46" s="136"/>
      <c r="E46" s="137"/>
      <c r="F46" s="133"/>
      <c r="AL46" s="173"/>
      <c r="AM46" s="120"/>
      <c r="AN46" s="157" t="s">
        <v>5777</v>
      </c>
      <c r="AO46" s="157"/>
      <c r="AP46" s="126">
        <v>200</v>
      </c>
      <c r="AQ46" s="120"/>
      <c r="AR46" s="173">
        <v>200</v>
      </c>
    </row>
    <row r="47" spans="1:44" ht="20.25" customHeight="1">
      <c r="A47" s="133"/>
      <c r="B47" s="134"/>
      <c r="C47" s="139" t="s">
        <v>5231</v>
      </c>
      <c r="D47" s="136"/>
      <c r="E47" s="137"/>
      <c r="F47" s="133"/>
      <c r="AL47" s="173"/>
      <c r="AM47" s="120"/>
      <c r="AN47" s="157"/>
      <c r="AO47" s="157"/>
      <c r="AP47" s="205" t="s">
        <v>2245</v>
      </c>
      <c r="AQ47" s="120"/>
      <c r="AR47" s="210">
        <f>SUM(AR15:AR46)</f>
        <v>39438.44</v>
      </c>
    </row>
    <row r="48" spans="1:44" ht="20.25" customHeight="1">
      <c r="A48" s="133">
        <v>6.1</v>
      </c>
      <c r="B48" s="134" t="s">
        <v>826</v>
      </c>
      <c r="C48" s="139" t="s">
        <v>5939</v>
      </c>
      <c r="D48" s="216">
        <v>115</v>
      </c>
      <c r="E48" s="137" t="s">
        <v>826</v>
      </c>
      <c r="F48" s="133">
        <f>D48*A48</f>
        <v>701.5</v>
      </c>
      <c r="AL48" s="120"/>
      <c r="AM48" s="120"/>
      <c r="AN48" s="157" t="s">
        <v>5766</v>
      </c>
      <c r="AO48" s="157"/>
      <c r="AP48" s="157"/>
      <c r="AQ48" s="120"/>
      <c r="AR48" s="173">
        <f>AR47*2%</f>
        <v>788.77</v>
      </c>
    </row>
    <row r="49" spans="1:44" ht="20.25" customHeight="1">
      <c r="A49" s="133"/>
      <c r="B49" s="134"/>
      <c r="C49" s="139"/>
      <c r="D49" s="136"/>
      <c r="E49" s="137"/>
      <c r="F49" s="133"/>
      <c r="AL49" s="120"/>
      <c r="AM49" s="120"/>
      <c r="AN49" s="157" t="s">
        <v>5767</v>
      </c>
      <c r="AO49" s="157"/>
      <c r="AP49" s="157"/>
      <c r="AQ49" s="120"/>
      <c r="AR49" s="210">
        <f>SUM(AR47:AR48)</f>
        <v>40227.21</v>
      </c>
    </row>
    <row r="50" spans="1:44" ht="20.25" customHeight="1">
      <c r="A50" s="133"/>
      <c r="B50" s="134"/>
      <c r="C50" s="140" t="s">
        <v>4189</v>
      </c>
      <c r="D50" s="136"/>
      <c r="E50" s="137"/>
      <c r="F50" s="133"/>
      <c r="AL50" s="120"/>
      <c r="AM50" s="120"/>
      <c r="AN50" s="157" t="s">
        <v>5768</v>
      </c>
      <c r="AO50" s="157"/>
      <c r="AP50" s="157"/>
      <c r="AQ50" s="120"/>
      <c r="AR50" s="173">
        <v>1000</v>
      </c>
    </row>
    <row r="51" spans="1:44" ht="20.25" customHeight="1">
      <c r="A51" s="133">
        <v>3</v>
      </c>
      <c r="B51" s="134" t="s">
        <v>1030</v>
      </c>
      <c r="C51" s="139" t="s">
        <v>5940</v>
      </c>
      <c r="D51" s="216">
        <v>555</v>
      </c>
      <c r="E51" s="137" t="s">
        <v>1398</v>
      </c>
      <c r="F51" s="133">
        <f>D51*A51</f>
        <v>1665</v>
      </c>
      <c r="AL51" s="120"/>
      <c r="AM51" s="120"/>
      <c r="AN51" s="157" t="s">
        <v>5769</v>
      </c>
      <c r="AO51" s="157"/>
      <c r="AP51" s="157"/>
      <c r="AQ51" s="120"/>
      <c r="AR51" s="173">
        <v>1000</v>
      </c>
    </row>
    <row r="52" spans="1:44" ht="20.25" customHeight="1">
      <c r="A52" s="133">
        <v>1</v>
      </c>
      <c r="B52" s="134" t="s">
        <v>1030</v>
      </c>
      <c r="C52" s="139" t="s">
        <v>5729</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5942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5943</v>
      </c>
      <c r="D54" s="216">
        <v>85.2</v>
      </c>
      <c r="E54" s="137" t="s">
        <v>1398</v>
      </c>
      <c r="F54" s="133">
        <f t="shared" si="4"/>
        <v>85.2</v>
      </c>
      <c r="AL54" s="120"/>
      <c r="AM54" s="120"/>
      <c r="AN54" s="157"/>
      <c r="AO54" s="120"/>
      <c r="AP54" s="120"/>
      <c r="AQ54" s="120"/>
      <c r="AR54" s="120"/>
    </row>
    <row r="55" spans="1:44" ht="20.25" customHeight="1">
      <c r="A55" s="133">
        <v>4</v>
      </c>
      <c r="B55" s="134" t="s">
        <v>1030</v>
      </c>
      <c r="C55" s="139" t="s">
        <v>5485</v>
      </c>
      <c r="D55" s="217">
        <v>67.8</v>
      </c>
      <c r="E55" s="137" t="s">
        <v>1398</v>
      </c>
      <c r="F55" s="133">
        <f t="shared" si="4"/>
        <v>271.2</v>
      </c>
      <c r="AL55" s="120"/>
      <c r="AM55" s="120"/>
      <c r="AN55" s="139"/>
      <c r="AO55" s="136"/>
      <c r="AP55" s="137"/>
      <c r="AQ55" s="133"/>
    </row>
    <row r="56" spans="1:44" ht="20.25" customHeight="1">
      <c r="A56" s="133">
        <v>1</v>
      </c>
      <c r="B56" s="134" t="s">
        <v>1030</v>
      </c>
      <c r="C56" s="139" t="s">
        <v>5944</v>
      </c>
      <c r="D56" s="136">
        <v>38</v>
      </c>
      <c r="E56" s="137" t="s">
        <v>1398</v>
      </c>
      <c r="F56" s="133">
        <f t="shared" si="4"/>
        <v>38</v>
      </c>
      <c r="AL56" s="133"/>
      <c r="AM56" s="134"/>
      <c r="AN56" s="139"/>
      <c r="AO56" s="136"/>
      <c r="AP56" s="137"/>
      <c r="AQ56" s="133"/>
    </row>
    <row r="57" spans="1:44" ht="20.25" customHeight="1">
      <c r="A57" s="133">
        <v>4</v>
      </c>
      <c r="B57" s="134" t="s">
        <v>560</v>
      </c>
      <c r="C57" s="139" t="s">
        <v>5945</v>
      </c>
      <c r="D57" s="216">
        <v>580</v>
      </c>
      <c r="E57" s="137" t="s">
        <v>1398</v>
      </c>
      <c r="F57" s="133">
        <f t="shared" si="4"/>
        <v>2320</v>
      </c>
      <c r="AL57" s="133"/>
      <c r="AM57" s="134"/>
      <c r="AN57" s="139"/>
      <c r="AO57" s="136"/>
      <c r="AP57" s="137"/>
      <c r="AQ57" s="133"/>
    </row>
    <row r="58" spans="1:44" ht="20.25" customHeight="1">
      <c r="A58" s="133"/>
      <c r="B58" s="134" t="s">
        <v>560</v>
      </c>
      <c r="C58" s="139" t="s">
        <v>5941</v>
      </c>
      <c r="D58" s="136"/>
      <c r="E58" s="137" t="s">
        <v>1398</v>
      </c>
      <c r="F58" s="133">
        <f t="shared" si="4"/>
        <v>0</v>
      </c>
      <c r="AL58" s="133"/>
      <c r="AM58" s="134"/>
      <c r="AN58" s="139"/>
      <c r="AO58" s="136"/>
      <c r="AP58" s="137"/>
      <c r="AQ58" s="133"/>
    </row>
    <row r="59" spans="1:44" ht="20.25" customHeight="1">
      <c r="A59" s="133">
        <v>1</v>
      </c>
      <c r="B59" s="134" t="s">
        <v>560</v>
      </c>
      <c r="C59" s="139" t="s">
        <v>5946</v>
      </c>
      <c r="D59" s="216">
        <v>258</v>
      </c>
      <c r="E59" s="137" t="s">
        <v>1398</v>
      </c>
      <c r="F59" s="133">
        <f t="shared" si="4"/>
        <v>258</v>
      </c>
      <c r="AL59" s="133"/>
      <c r="AM59" s="134"/>
      <c r="AN59" s="139"/>
      <c r="AO59" s="136"/>
      <c r="AP59" s="137"/>
      <c r="AQ59" s="133"/>
    </row>
    <row r="60" spans="1:44" ht="20.25" customHeight="1">
      <c r="A60" s="176">
        <v>484</v>
      </c>
      <c r="B60" s="137" t="s">
        <v>4191</v>
      </c>
      <c r="C60" s="139" t="s">
        <v>5487</v>
      </c>
      <c r="D60" s="136">
        <v>1</v>
      </c>
      <c r="E60" s="137" t="s">
        <v>4191</v>
      </c>
      <c r="F60" s="133">
        <f t="shared" si="4"/>
        <v>484</v>
      </c>
      <c r="AL60" s="176"/>
      <c r="AM60" s="137"/>
      <c r="AN60" s="139"/>
      <c r="AO60" s="136"/>
      <c r="AP60" s="137"/>
      <c r="AQ60" s="133"/>
    </row>
    <row r="61" spans="1:44" ht="20.25" customHeight="1">
      <c r="A61" s="133"/>
      <c r="B61" s="134"/>
      <c r="C61" s="139" t="s">
        <v>4193</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5489</v>
      </c>
      <c r="D63" s="136">
        <v>20</v>
      </c>
      <c r="E63" s="137" t="s">
        <v>826</v>
      </c>
      <c r="F63" s="133">
        <f t="shared" ref="F63:F71" si="5">SUM(A63*D63)</f>
        <v>366</v>
      </c>
      <c r="AL63" s="133"/>
      <c r="AM63" s="134"/>
      <c r="AN63" s="139"/>
      <c r="AO63" s="136"/>
      <c r="AP63" s="177"/>
      <c r="AQ63" s="133"/>
    </row>
    <row r="64" spans="1:44" ht="20.25" customHeight="1">
      <c r="A64" s="133">
        <v>0.7</v>
      </c>
      <c r="B64" s="134" t="s">
        <v>5544</v>
      </c>
      <c r="C64" s="139" t="s">
        <v>5947</v>
      </c>
      <c r="D64" s="136">
        <f>661*2</f>
        <v>1322</v>
      </c>
      <c r="E64" s="177" t="s">
        <v>5544</v>
      </c>
      <c r="F64" s="133">
        <f t="shared" si="5"/>
        <v>925.4</v>
      </c>
      <c r="AL64" s="133"/>
      <c r="AM64" s="134"/>
      <c r="AN64" s="139"/>
      <c r="AO64" s="136"/>
      <c r="AP64" s="137"/>
      <c r="AQ64" s="133"/>
    </row>
    <row r="65" spans="1:43" ht="20.25" customHeight="1">
      <c r="A65" s="133">
        <v>5</v>
      </c>
      <c r="B65" s="134" t="s">
        <v>1432</v>
      </c>
      <c r="C65" s="139" t="s">
        <v>5491</v>
      </c>
      <c r="D65" s="136">
        <v>20</v>
      </c>
      <c r="E65" s="137" t="s">
        <v>1714</v>
      </c>
      <c r="F65" s="133">
        <f t="shared" si="5"/>
        <v>100</v>
      </c>
      <c r="AL65" s="133"/>
      <c r="AM65" s="134"/>
      <c r="AN65" s="139"/>
      <c r="AO65" s="136"/>
      <c r="AP65" s="137"/>
      <c r="AQ65" s="133"/>
    </row>
    <row r="66" spans="1:43" ht="20.25" customHeight="1">
      <c r="A66" s="133">
        <v>1</v>
      </c>
      <c r="B66" s="134" t="s">
        <v>145</v>
      </c>
      <c r="C66" s="139" t="s">
        <v>5492</v>
      </c>
      <c r="D66" s="136">
        <v>280</v>
      </c>
      <c r="E66" s="137" t="s">
        <v>145</v>
      </c>
      <c r="F66" s="133">
        <f t="shared" si="5"/>
        <v>280</v>
      </c>
      <c r="AL66" s="133"/>
      <c r="AM66" s="134"/>
      <c r="AN66" s="139"/>
      <c r="AO66" s="136"/>
      <c r="AP66" s="177"/>
      <c r="AQ66" s="133"/>
    </row>
    <row r="67" spans="1:43" ht="20.25" customHeight="1">
      <c r="A67" s="133">
        <v>5</v>
      </c>
      <c r="B67" s="134" t="s">
        <v>3440</v>
      </c>
      <c r="C67" s="139" t="s">
        <v>5948</v>
      </c>
      <c r="D67" s="216">
        <v>10.45</v>
      </c>
      <c r="E67" s="177" t="s">
        <v>3440</v>
      </c>
      <c r="F67" s="133">
        <f t="shared" si="5"/>
        <v>52.25</v>
      </c>
      <c r="AL67" s="133"/>
      <c r="AM67" s="134"/>
      <c r="AN67" s="139"/>
      <c r="AO67" s="136"/>
      <c r="AP67" s="177"/>
      <c r="AQ67" s="133"/>
    </row>
    <row r="68" spans="1:43" ht="30.75" customHeight="1">
      <c r="A68" s="133">
        <v>130.54</v>
      </c>
      <c r="B68" s="134" t="s">
        <v>913</v>
      </c>
      <c r="C68" s="139" t="s">
        <v>5949</v>
      </c>
      <c r="D68" s="216">
        <v>52.5</v>
      </c>
      <c r="E68" s="177" t="s">
        <v>913</v>
      </c>
      <c r="F68" s="133">
        <f t="shared" si="5"/>
        <v>6853.35</v>
      </c>
      <c r="AL68" s="133"/>
      <c r="AM68" s="134"/>
      <c r="AN68" s="139"/>
      <c r="AO68" s="136"/>
      <c r="AP68" s="177"/>
      <c r="AQ68" s="133"/>
    </row>
    <row r="69" spans="1:43" ht="20.25" customHeight="1">
      <c r="A69" s="133">
        <v>5</v>
      </c>
      <c r="B69" s="134" t="s">
        <v>1432</v>
      </c>
      <c r="C69" s="139" t="s">
        <v>5495</v>
      </c>
      <c r="D69" s="217">
        <v>1086</v>
      </c>
      <c r="E69" s="177" t="s">
        <v>1714</v>
      </c>
      <c r="F69" s="133">
        <f t="shared" si="5"/>
        <v>5430</v>
      </c>
      <c r="AL69" s="133"/>
      <c r="AM69" s="134"/>
      <c r="AN69" s="139"/>
      <c r="AO69" s="136"/>
      <c r="AP69" s="177"/>
      <c r="AQ69" s="133"/>
    </row>
    <row r="70" spans="1:43" ht="20.25" customHeight="1">
      <c r="A70" s="133">
        <v>178.92</v>
      </c>
      <c r="B70" s="134" t="s">
        <v>4198</v>
      </c>
      <c r="C70" s="139" t="s">
        <v>5496</v>
      </c>
      <c r="D70" s="136">
        <v>10</v>
      </c>
      <c r="E70" s="177" t="s">
        <v>4200</v>
      </c>
      <c r="F70" s="133">
        <f t="shared" si="5"/>
        <v>1789.2</v>
      </c>
      <c r="AL70" s="133"/>
      <c r="AM70" s="134"/>
      <c r="AN70" s="139"/>
      <c r="AO70" s="136"/>
      <c r="AP70" s="178"/>
      <c r="AQ70" s="133"/>
    </row>
    <row r="71" spans="1:43" ht="20.25" customHeight="1">
      <c r="A71" s="144">
        <v>36</v>
      </c>
      <c r="B71" s="134" t="s">
        <v>4201</v>
      </c>
      <c r="C71" s="139" t="s">
        <v>5950</v>
      </c>
      <c r="D71" s="216">
        <v>60.65</v>
      </c>
      <c r="E71" s="178" t="s">
        <v>4202</v>
      </c>
      <c r="F71" s="133">
        <f t="shared" si="5"/>
        <v>2183.4</v>
      </c>
      <c r="AL71" s="144"/>
      <c r="AM71" s="134"/>
      <c r="AN71" s="139"/>
      <c r="AO71" s="136"/>
      <c r="AP71" s="137"/>
      <c r="AQ71" s="133"/>
    </row>
    <row r="72" spans="1:43" ht="20.25" customHeight="1">
      <c r="A72" s="133"/>
      <c r="B72" s="134"/>
      <c r="C72" s="139" t="s">
        <v>4203</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4204</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4205</v>
      </c>
      <c r="D77" s="136"/>
      <c r="E77" s="137"/>
      <c r="F77" s="133">
        <v>1000</v>
      </c>
      <c r="AL77" s="133"/>
      <c r="AM77" s="134"/>
      <c r="AN77" s="139"/>
      <c r="AO77" s="136"/>
      <c r="AP77" s="137"/>
      <c r="AQ77" s="133"/>
    </row>
    <row r="78" spans="1:43" ht="20.25" customHeight="1">
      <c r="A78" s="133"/>
      <c r="B78" s="134"/>
      <c r="C78" s="139" t="s">
        <v>4206</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4207</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141"/>
      <c r="E82" s="1141"/>
      <c r="F82" s="1141"/>
    </row>
    <row r="84" spans="1:39" ht="20.25" customHeight="1">
      <c r="A84" s="158"/>
      <c r="B84" s="157"/>
      <c r="C84" s="125" t="s">
        <v>5466</v>
      </c>
      <c r="D84" s="158"/>
      <c r="E84" s="156"/>
      <c r="F84" s="158"/>
    </row>
    <row r="85" spans="1:39" ht="20.25" customHeight="1">
      <c r="A85" s="123"/>
      <c r="B85" s="124"/>
      <c r="C85" s="125" t="s">
        <v>5467</v>
      </c>
      <c r="D85" s="158"/>
      <c r="E85" s="126"/>
      <c r="F85" s="130"/>
    </row>
    <row r="86" spans="1:39" ht="20.25" customHeight="1">
      <c r="A86" s="123"/>
      <c r="B86" s="124"/>
      <c r="C86" s="128" t="s">
        <v>5468</v>
      </c>
      <c r="D86" s="158"/>
      <c r="E86" s="126"/>
      <c r="F86" s="123"/>
    </row>
    <row r="87" spans="1:39" ht="20.25" customHeight="1">
      <c r="A87" s="123"/>
      <c r="B87" s="124"/>
      <c r="C87" s="127" t="s">
        <v>4155</v>
      </c>
      <c r="D87" s="158"/>
      <c r="E87" s="126"/>
      <c r="F87" s="123"/>
    </row>
    <row r="88" spans="1:39" ht="20.25" customHeight="1">
      <c r="A88" s="123"/>
      <c r="B88" s="124"/>
      <c r="C88" s="128" t="s">
        <v>5469</v>
      </c>
      <c r="D88" s="158"/>
      <c r="E88" s="126"/>
      <c r="F88" s="123"/>
    </row>
    <row r="89" spans="1:39" ht="20.25" customHeight="1">
      <c r="A89" s="123"/>
      <c r="B89" s="124"/>
      <c r="C89" s="128" t="s">
        <v>5470</v>
      </c>
      <c r="D89" s="158"/>
      <c r="E89" s="126"/>
      <c r="F89" s="123"/>
    </row>
    <row r="90" spans="1:39" ht="20.25" customHeight="1">
      <c r="A90" s="123"/>
      <c r="B90" s="124"/>
      <c r="C90" s="128" t="s">
        <v>5471</v>
      </c>
      <c r="D90" s="158"/>
      <c r="E90" s="126"/>
      <c r="F90" s="123"/>
    </row>
    <row r="91" spans="1:39" ht="20.25" customHeight="1">
      <c r="A91" s="123"/>
      <c r="B91" s="124"/>
      <c r="C91" s="128" t="s">
        <v>5472</v>
      </c>
      <c r="D91" s="158"/>
      <c r="E91" s="126"/>
      <c r="F91" s="123"/>
    </row>
    <row r="92" spans="1:39" ht="20.25" customHeight="1">
      <c r="A92" s="123"/>
      <c r="B92" s="124"/>
      <c r="C92" s="128" t="s">
        <v>5473</v>
      </c>
      <c r="D92" s="158"/>
      <c r="E92" s="126"/>
      <c r="F92" s="123"/>
    </row>
    <row r="93" spans="1:39" ht="20.25" customHeight="1">
      <c r="A93" s="123"/>
      <c r="B93" s="124"/>
      <c r="C93" s="128" t="s">
        <v>5474</v>
      </c>
      <c r="D93" s="158"/>
      <c r="E93" s="126"/>
      <c r="F93" s="123"/>
    </row>
    <row r="94" spans="1:39" ht="20.25" customHeight="1">
      <c r="A94" s="123"/>
      <c r="B94" s="124"/>
      <c r="C94" s="127"/>
      <c r="D94" s="158"/>
      <c r="E94" s="126"/>
      <c r="F94" s="123"/>
    </row>
    <row r="95" spans="1:39" ht="20.25" customHeight="1">
      <c r="A95" s="123"/>
      <c r="B95" s="124"/>
      <c r="C95" s="128" t="s">
        <v>5475</v>
      </c>
      <c r="D95" s="158"/>
      <c r="E95" s="126"/>
      <c r="F95" s="123"/>
    </row>
    <row r="96" spans="1:39" ht="20.25" customHeight="1">
      <c r="A96" s="179"/>
      <c r="B96" s="124"/>
      <c r="C96" s="127" t="s">
        <v>5476</v>
      </c>
      <c r="D96" s="158"/>
      <c r="E96" s="126"/>
      <c r="F96" s="123"/>
    </row>
    <row r="97" spans="1:6" ht="20.25" customHeight="1">
      <c r="A97" s="123"/>
      <c r="B97" s="124"/>
      <c r="C97" s="128" t="s">
        <v>5778</v>
      </c>
      <c r="D97" s="158"/>
      <c r="E97" s="126"/>
      <c r="F97" s="123"/>
    </row>
    <row r="98" spans="1:6" ht="20.25" customHeight="1">
      <c r="A98" s="132">
        <v>177.37200000000001</v>
      </c>
      <c r="B98" s="124" t="s">
        <v>913</v>
      </c>
      <c r="C98" s="128" t="s">
        <v>5477</v>
      </c>
      <c r="D98" s="158">
        <f>D16</f>
        <v>57.6</v>
      </c>
      <c r="E98" s="126" t="s">
        <v>913</v>
      </c>
      <c r="F98" s="123">
        <f>D98*A98</f>
        <v>10216.629999999999</v>
      </c>
    </row>
    <row r="99" spans="1:6" ht="20.25" customHeight="1">
      <c r="A99" s="179"/>
      <c r="B99" s="124"/>
      <c r="C99" s="127" t="s">
        <v>4163</v>
      </c>
      <c r="D99" s="158">
        <f>D17</f>
        <v>0</v>
      </c>
      <c r="E99" s="126"/>
      <c r="F99" s="123"/>
    </row>
    <row r="100" spans="1:6" ht="20.25" customHeight="1">
      <c r="A100" s="123"/>
      <c r="B100" s="124"/>
      <c r="C100" s="128" t="s">
        <v>4164</v>
      </c>
      <c r="D100" s="158">
        <f>D18</f>
        <v>0</v>
      </c>
      <c r="E100" s="126"/>
      <c r="F100" s="123"/>
    </row>
    <row r="101" spans="1:6" ht="20.25" customHeight="1">
      <c r="A101" s="123"/>
      <c r="B101" s="124"/>
      <c r="C101" s="128" t="s">
        <v>5240</v>
      </c>
      <c r="D101" s="158">
        <f>D19</f>
        <v>0</v>
      </c>
      <c r="E101" s="126"/>
      <c r="F101" s="123"/>
    </row>
    <row r="102" spans="1:6" ht="20.25" customHeight="1">
      <c r="A102" s="123"/>
      <c r="B102" s="124"/>
      <c r="C102" s="128" t="s">
        <v>4166</v>
      </c>
      <c r="D102" s="158">
        <f t="shared" ref="D102:D138" si="6">D21</f>
        <v>0</v>
      </c>
      <c r="E102" s="126"/>
      <c r="F102" s="123"/>
    </row>
    <row r="103" spans="1:6" ht="20.25" customHeight="1">
      <c r="A103" s="123"/>
      <c r="B103" s="124"/>
      <c r="C103" s="128" t="s">
        <v>5239</v>
      </c>
      <c r="D103" s="158">
        <f t="shared" si="6"/>
        <v>0</v>
      </c>
      <c r="E103" s="126"/>
      <c r="F103" s="123"/>
    </row>
    <row r="104" spans="1:6" ht="20.25" customHeight="1">
      <c r="A104" s="123"/>
      <c r="B104" s="124"/>
      <c r="C104" s="128" t="s">
        <v>5238</v>
      </c>
      <c r="D104" s="158">
        <f t="shared" si="6"/>
        <v>0</v>
      </c>
      <c r="E104" s="126"/>
      <c r="F104" s="123"/>
    </row>
    <row r="105" spans="1:6" ht="20.25" customHeight="1">
      <c r="A105" s="123"/>
      <c r="B105" s="124"/>
      <c r="C105" s="128" t="s">
        <v>5237</v>
      </c>
      <c r="D105" s="158">
        <f t="shared" si="6"/>
        <v>0</v>
      </c>
      <c r="E105" s="126"/>
      <c r="F105" s="123"/>
    </row>
    <row r="106" spans="1:6" ht="20.25" customHeight="1">
      <c r="A106" s="123"/>
      <c r="B106" s="124"/>
      <c r="C106" s="128" t="s">
        <v>5236</v>
      </c>
      <c r="D106" s="158">
        <f t="shared" si="6"/>
        <v>0</v>
      </c>
      <c r="E106" s="126"/>
      <c r="F106" s="123"/>
    </row>
    <row r="107" spans="1:6" ht="20.25" customHeight="1">
      <c r="A107" s="123">
        <v>22.2</v>
      </c>
      <c r="B107" s="124" t="s">
        <v>913</v>
      </c>
      <c r="C107" s="128" t="s">
        <v>4171</v>
      </c>
      <c r="D107" s="158">
        <f t="shared" si="6"/>
        <v>57.6</v>
      </c>
      <c r="E107" s="126" t="s">
        <v>913</v>
      </c>
      <c r="F107" s="123">
        <f>SUM(A107*D107)</f>
        <v>1278.72</v>
      </c>
    </row>
    <row r="108" spans="1:6" ht="20.25" customHeight="1">
      <c r="A108" s="123"/>
      <c r="B108" s="124"/>
      <c r="C108" s="127" t="s">
        <v>4172</v>
      </c>
      <c r="D108" s="158">
        <f t="shared" si="6"/>
        <v>0</v>
      </c>
      <c r="E108" s="126"/>
      <c r="F108" s="123"/>
    </row>
    <row r="109" spans="1:6" ht="20.25" customHeight="1">
      <c r="A109" s="123"/>
      <c r="B109" s="124"/>
      <c r="C109" s="128" t="s">
        <v>4173</v>
      </c>
      <c r="D109" s="158">
        <f t="shared" si="6"/>
        <v>0</v>
      </c>
      <c r="E109" s="126"/>
      <c r="F109" s="123"/>
    </row>
    <row r="110" spans="1:6" ht="20.25" customHeight="1">
      <c r="A110" s="123"/>
      <c r="B110" s="124"/>
      <c r="C110" s="128" t="s">
        <v>4174</v>
      </c>
      <c r="D110" s="158">
        <f t="shared" si="6"/>
        <v>0</v>
      </c>
      <c r="E110" s="126"/>
      <c r="F110" s="123"/>
    </row>
    <row r="111" spans="1:6" ht="20.25" customHeight="1">
      <c r="A111" s="123"/>
      <c r="B111" s="124"/>
      <c r="C111" s="128" t="s">
        <v>5235</v>
      </c>
      <c r="D111" s="158">
        <f t="shared" si="6"/>
        <v>0</v>
      </c>
      <c r="E111" s="126"/>
      <c r="F111" s="123"/>
    </row>
    <row r="112" spans="1:6" ht="20.25" customHeight="1">
      <c r="A112" s="123"/>
      <c r="B112" s="124"/>
      <c r="C112" s="128" t="s">
        <v>4176</v>
      </c>
      <c r="D112" s="158">
        <f t="shared" si="6"/>
        <v>0</v>
      </c>
      <c r="E112" s="126"/>
      <c r="F112" s="123"/>
    </row>
    <row r="113" spans="1:6" ht="20.25" customHeight="1">
      <c r="A113" s="123"/>
      <c r="B113" s="124"/>
      <c r="C113" s="128" t="s">
        <v>4177</v>
      </c>
      <c r="D113" s="158">
        <f t="shared" si="6"/>
        <v>0</v>
      </c>
      <c r="E113" s="126"/>
      <c r="F113" s="123"/>
    </row>
    <row r="114" spans="1:6" ht="20.25" customHeight="1">
      <c r="A114" s="123"/>
      <c r="B114" s="124"/>
      <c r="C114" s="128" t="s">
        <v>4178</v>
      </c>
      <c r="D114" s="158">
        <f t="shared" si="6"/>
        <v>0</v>
      </c>
      <c r="E114" s="126"/>
      <c r="F114" s="123"/>
    </row>
    <row r="115" spans="1:6" ht="20.25" customHeight="1">
      <c r="A115" s="123"/>
      <c r="B115" s="124"/>
      <c r="C115" s="128" t="s">
        <v>5234</v>
      </c>
      <c r="D115" s="158">
        <f t="shared" si="6"/>
        <v>0</v>
      </c>
      <c r="E115" s="126"/>
      <c r="F115" s="123"/>
    </row>
    <row r="116" spans="1:6" ht="20.25" customHeight="1">
      <c r="A116" s="123"/>
      <c r="B116" s="124"/>
      <c r="C116" s="128" t="s">
        <v>4180</v>
      </c>
      <c r="D116" s="158">
        <f t="shared" si="6"/>
        <v>0</v>
      </c>
      <c r="E116" s="126"/>
      <c r="F116" s="123"/>
    </row>
    <row r="117" spans="1:6" ht="20.25" customHeight="1">
      <c r="A117" s="123"/>
      <c r="B117" s="124"/>
      <c r="C117" s="128" t="s">
        <v>4181</v>
      </c>
      <c r="D117" s="158">
        <f t="shared" si="6"/>
        <v>0</v>
      </c>
      <c r="E117" s="126"/>
      <c r="F117" s="123"/>
    </row>
    <row r="118" spans="1:6" ht="20.25" customHeight="1">
      <c r="A118" s="123"/>
      <c r="B118" s="124"/>
      <c r="C118" s="128" t="s">
        <v>4182</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5233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5478</v>
      </c>
      <c r="D122" s="158">
        <f t="shared" si="6"/>
        <v>562</v>
      </c>
      <c r="E122" s="126" t="s">
        <v>913</v>
      </c>
      <c r="F122" s="123">
        <f>SUM(A122*D122)</f>
        <v>5372.72</v>
      </c>
    </row>
    <row r="123" spans="1:6" ht="20.25" customHeight="1">
      <c r="A123" s="123">
        <f>A122</f>
        <v>9.56</v>
      </c>
      <c r="B123" s="124" t="s">
        <v>913</v>
      </c>
      <c r="C123" s="128" t="s">
        <v>5479</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4185</v>
      </c>
      <c r="D125" s="158">
        <f t="shared" si="6"/>
        <v>0</v>
      </c>
      <c r="E125" s="126"/>
      <c r="F125" s="123"/>
    </row>
    <row r="126" spans="1:6" ht="20.25" customHeight="1">
      <c r="A126" s="123"/>
      <c r="B126" s="124"/>
      <c r="C126" s="128" t="s">
        <v>4186</v>
      </c>
      <c r="D126" s="158">
        <f t="shared" si="6"/>
        <v>0</v>
      </c>
      <c r="E126" s="126"/>
      <c r="F126" s="123"/>
    </row>
    <row r="127" spans="1:6" ht="20.25" customHeight="1">
      <c r="A127" s="123"/>
      <c r="B127" s="124"/>
      <c r="C127" s="128" t="s">
        <v>5480</v>
      </c>
      <c r="D127" s="158">
        <f t="shared" si="6"/>
        <v>0</v>
      </c>
      <c r="E127" s="126"/>
      <c r="F127" s="123"/>
    </row>
    <row r="128" spans="1:6" ht="20.25" customHeight="1">
      <c r="A128" s="123"/>
      <c r="B128" s="124"/>
      <c r="C128" s="128" t="s">
        <v>5481</v>
      </c>
      <c r="D128" s="158">
        <f t="shared" si="6"/>
        <v>0</v>
      </c>
      <c r="E128" s="126"/>
      <c r="F128" s="123"/>
    </row>
    <row r="129" spans="1:6" ht="20.25" customHeight="1">
      <c r="A129" s="123">
        <v>8</v>
      </c>
      <c r="B129" s="124" t="s">
        <v>826</v>
      </c>
      <c r="C129" s="128" t="s">
        <v>5482</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4189</v>
      </c>
      <c r="D131" s="158">
        <f t="shared" si="6"/>
        <v>0</v>
      </c>
      <c r="E131" s="126"/>
      <c r="F131" s="123"/>
    </row>
    <row r="132" spans="1:6" ht="20.25" customHeight="1">
      <c r="A132" s="123">
        <v>3</v>
      </c>
      <c r="B132" s="124" t="s">
        <v>1030</v>
      </c>
      <c r="C132" s="128" t="s">
        <v>5483</v>
      </c>
      <c r="D132" s="158">
        <v>696.43</v>
      </c>
      <c r="E132" s="126" t="s">
        <v>1398</v>
      </c>
      <c r="F132" s="123">
        <f t="shared" si="7"/>
        <v>2089.29</v>
      </c>
    </row>
    <row r="133" spans="1:6" ht="20.25" customHeight="1">
      <c r="A133" s="123">
        <v>1</v>
      </c>
      <c r="B133" s="124" t="s">
        <v>1030</v>
      </c>
      <c r="C133" s="128" t="s">
        <v>5779</v>
      </c>
      <c r="D133" s="158">
        <f t="shared" si="6"/>
        <v>77.599999999999994</v>
      </c>
      <c r="E133" s="126" t="s">
        <v>1398</v>
      </c>
      <c r="F133" s="123">
        <f t="shared" si="7"/>
        <v>77.599999999999994</v>
      </c>
    </row>
    <row r="134" spans="1:6" ht="20.25" customHeight="1">
      <c r="A134" s="123">
        <v>24</v>
      </c>
      <c r="B134" s="124" t="s">
        <v>1030</v>
      </c>
      <c r="C134" s="128" t="s">
        <v>5998</v>
      </c>
      <c r="D134" s="158">
        <f t="shared" si="6"/>
        <v>190.2</v>
      </c>
      <c r="E134" s="126" t="s">
        <v>1398</v>
      </c>
      <c r="F134" s="123">
        <f t="shared" si="7"/>
        <v>4564.8</v>
      </c>
    </row>
    <row r="135" spans="1:6" ht="20.25" customHeight="1">
      <c r="A135" s="123">
        <v>1</v>
      </c>
      <c r="B135" s="124" t="s">
        <v>560</v>
      </c>
      <c r="C135" s="128" t="s">
        <v>5999</v>
      </c>
      <c r="D135" s="158">
        <f t="shared" si="6"/>
        <v>85.2</v>
      </c>
      <c r="E135" s="126" t="s">
        <v>1398</v>
      </c>
      <c r="F135" s="123">
        <f t="shared" si="7"/>
        <v>85.2</v>
      </c>
    </row>
    <row r="136" spans="1:6" ht="20.25" customHeight="1">
      <c r="A136" s="123">
        <v>8</v>
      </c>
      <c r="B136" s="124" t="s">
        <v>1030</v>
      </c>
      <c r="C136" s="128" t="s">
        <v>5485</v>
      </c>
      <c r="D136" s="158">
        <f t="shared" si="6"/>
        <v>67.8</v>
      </c>
      <c r="E136" s="126" t="s">
        <v>1398</v>
      </c>
      <c r="F136" s="123">
        <f t="shared" si="7"/>
        <v>542.4</v>
      </c>
    </row>
    <row r="137" spans="1:6" ht="20.25" customHeight="1">
      <c r="A137" s="123">
        <v>1</v>
      </c>
      <c r="B137" s="124" t="s">
        <v>1030</v>
      </c>
      <c r="C137" s="128" t="s">
        <v>5486</v>
      </c>
      <c r="D137" s="158">
        <f t="shared" si="6"/>
        <v>38</v>
      </c>
      <c r="E137" s="126" t="s">
        <v>1398</v>
      </c>
      <c r="F137" s="123">
        <f t="shared" si="7"/>
        <v>38</v>
      </c>
    </row>
    <row r="138" spans="1:6" ht="20.25" customHeight="1">
      <c r="A138" s="123">
        <v>8</v>
      </c>
      <c r="B138" s="124" t="s">
        <v>560</v>
      </c>
      <c r="C138" s="128" t="s">
        <v>5945</v>
      </c>
      <c r="D138" s="158">
        <f t="shared" si="6"/>
        <v>580</v>
      </c>
      <c r="E138" s="126" t="s">
        <v>1398</v>
      </c>
      <c r="F138" s="123">
        <f t="shared" si="7"/>
        <v>4640</v>
      </c>
    </row>
    <row r="139" spans="1:6" ht="20.25" customHeight="1">
      <c r="A139" s="123">
        <v>1</v>
      </c>
      <c r="B139" s="124" t="s">
        <v>560</v>
      </c>
      <c r="C139" s="128" t="s">
        <v>5946</v>
      </c>
      <c r="D139" s="158">
        <f t="shared" ref="C139:D151" si="8">D59</f>
        <v>258</v>
      </c>
      <c r="E139" s="126" t="s">
        <v>1398</v>
      </c>
      <c r="F139" s="123">
        <f t="shared" si="7"/>
        <v>258</v>
      </c>
    </row>
    <row r="140" spans="1:6" ht="20.25" customHeight="1">
      <c r="A140" s="180">
        <v>836</v>
      </c>
      <c r="B140" s="126" t="s">
        <v>4191</v>
      </c>
      <c r="C140" s="128" t="s">
        <v>5487</v>
      </c>
      <c r="D140" s="158">
        <f t="shared" si="8"/>
        <v>1</v>
      </c>
      <c r="E140" s="126" t="s">
        <v>4191</v>
      </c>
      <c r="F140" s="123">
        <f t="shared" si="7"/>
        <v>836</v>
      </c>
    </row>
    <row r="141" spans="1:6" ht="20.25" customHeight="1">
      <c r="A141" s="123"/>
      <c r="B141" s="124"/>
      <c r="C141" s="128" t="s">
        <v>4193</v>
      </c>
      <c r="D141" s="158">
        <f t="shared" si="8"/>
        <v>0</v>
      </c>
      <c r="E141" s="126"/>
      <c r="F141" s="123"/>
    </row>
    <row r="142" spans="1:6" ht="20.25" customHeight="1">
      <c r="A142" s="123"/>
      <c r="B142" s="124"/>
      <c r="C142" s="128" t="s">
        <v>5488</v>
      </c>
      <c r="D142" s="158">
        <f t="shared" si="8"/>
        <v>0</v>
      </c>
      <c r="E142" s="126"/>
      <c r="F142" s="123"/>
    </row>
    <row r="143" spans="1:6" ht="20.25" customHeight="1">
      <c r="A143" s="123">
        <v>31.4</v>
      </c>
      <c r="B143" s="124" t="s">
        <v>826</v>
      </c>
      <c r="C143" s="128" t="s">
        <v>5489</v>
      </c>
      <c r="D143" s="158">
        <f t="shared" si="8"/>
        <v>20</v>
      </c>
      <c r="E143" s="126" t="s">
        <v>826</v>
      </c>
      <c r="F143" s="123">
        <f t="shared" si="7"/>
        <v>628</v>
      </c>
    </row>
    <row r="144" spans="1:6" ht="20.25" customHeight="1">
      <c r="A144" s="123">
        <v>1.1000000000000001</v>
      </c>
      <c r="B144" s="124" t="s">
        <v>5544</v>
      </c>
      <c r="C144" s="128" t="s">
        <v>5947</v>
      </c>
      <c r="D144" s="158">
        <f t="shared" si="8"/>
        <v>1322</v>
      </c>
      <c r="E144" s="129" t="s">
        <v>5544</v>
      </c>
      <c r="F144" s="123">
        <f t="shared" si="7"/>
        <v>1454.2</v>
      </c>
    </row>
    <row r="145" spans="1:6" ht="20.25" customHeight="1">
      <c r="A145" s="123">
        <v>9</v>
      </c>
      <c r="B145" s="124" t="s">
        <v>1432</v>
      </c>
      <c r="C145" s="128" t="s">
        <v>5491</v>
      </c>
      <c r="D145" s="158">
        <f t="shared" si="8"/>
        <v>20</v>
      </c>
      <c r="E145" s="126" t="s">
        <v>1714</v>
      </c>
      <c r="F145" s="123">
        <f t="shared" si="7"/>
        <v>180</v>
      </c>
    </row>
    <row r="146" spans="1:6" ht="20.25" customHeight="1">
      <c r="A146" s="123">
        <v>1</v>
      </c>
      <c r="B146" s="124" t="s">
        <v>145</v>
      </c>
      <c r="C146" s="128" t="s">
        <v>5492</v>
      </c>
      <c r="D146" s="158">
        <f t="shared" si="8"/>
        <v>280</v>
      </c>
      <c r="E146" s="126" t="s">
        <v>145</v>
      </c>
      <c r="F146" s="123">
        <f t="shared" si="7"/>
        <v>280</v>
      </c>
    </row>
    <row r="147" spans="1:6" ht="20.25" customHeight="1">
      <c r="A147" s="123">
        <v>5</v>
      </c>
      <c r="B147" s="124" t="s">
        <v>3440</v>
      </c>
      <c r="C147" s="128" t="s">
        <v>5957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5495</v>
      </c>
      <c r="D149" s="158">
        <f t="shared" si="8"/>
        <v>1086</v>
      </c>
      <c r="E149" s="129" t="s">
        <v>1714</v>
      </c>
      <c r="F149" s="123">
        <f t="shared" si="7"/>
        <v>9774</v>
      </c>
    </row>
    <row r="150" spans="1:6" ht="20.25" customHeight="1">
      <c r="A150" s="123">
        <v>275.64</v>
      </c>
      <c r="B150" s="124" t="s">
        <v>4198</v>
      </c>
      <c r="C150" s="128" t="s">
        <v>5496</v>
      </c>
      <c r="D150" s="158">
        <f t="shared" si="8"/>
        <v>10</v>
      </c>
      <c r="E150" s="129" t="s">
        <v>4200</v>
      </c>
      <c r="F150" s="123">
        <f t="shared" si="7"/>
        <v>2756.4</v>
      </c>
    </row>
    <row r="151" spans="1:6" ht="20.25" customHeight="1">
      <c r="A151" s="179">
        <v>68</v>
      </c>
      <c r="B151" s="124" t="s">
        <v>4201</v>
      </c>
      <c r="C151" s="167" t="s">
        <v>5780</v>
      </c>
      <c r="D151" s="158">
        <f t="shared" si="8"/>
        <v>60.65</v>
      </c>
      <c r="E151" s="156" t="s">
        <v>4202</v>
      </c>
      <c r="F151" s="123">
        <f t="shared" si="7"/>
        <v>4124.2</v>
      </c>
    </row>
    <row r="152" spans="1:6" ht="20.25" customHeight="1">
      <c r="A152" s="123"/>
      <c r="B152" s="124"/>
      <c r="C152" s="128" t="s">
        <v>4203</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4204</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4205</v>
      </c>
      <c r="D157" s="158"/>
      <c r="E157" s="126"/>
      <c r="F157" s="123">
        <v>1000</v>
      </c>
    </row>
    <row r="158" spans="1:6" ht="20.25" customHeight="1">
      <c r="A158" s="123"/>
      <c r="B158" s="124"/>
      <c r="C158" s="128" t="s">
        <v>4206</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4207</v>
      </c>
    </row>
    <row r="161" spans="1:6" ht="20.25" customHeight="1">
      <c r="A161" s="123"/>
      <c r="B161" s="124"/>
      <c r="C161" s="128"/>
      <c r="D161" s="158"/>
      <c r="E161" s="126"/>
      <c r="F161" s="130">
        <v>60300</v>
      </c>
    </row>
    <row r="162" spans="1:6" ht="20.25" customHeight="1">
      <c r="A162" s="120"/>
      <c r="B162" s="120"/>
      <c r="C162" s="120"/>
      <c r="D162" s="1142"/>
      <c r="E162" s="1142"/>
      <c r="F162" s="1142"/>
    </row>
    <row r="165" spans="1:6" ht="20.25" customHeight="1">
      <c r="A165" s="133"/>
      <c r="B165" s="134"/>
      <c r="C165" s="135" t="s">
        <v>5497</v>
      </c>
      <c r="D165" s="136"/>
      <c r="E165" s="137"/>
      <c r="F165" s="138"/>
    </row>
    <row r="166" spans="1:6" ht="20.25" customHeight="1">
      <c r="A166" s="133"/>
      <c r="B166" s="134"/>
      <c r="C166" s="139" t="s">
        <v>5498</v>
      </c>
      <c r="D166" s="136"/>
      <c r="E166" s="137"/>
      <c r="F166" s="133"/>
    </row>
    <row r="167" spans="1:6" ht="20.25" customHeight="1">
      <c r="A167" s="133"/>
      <c r="B167" s="134"/>
      <c r="C167" s="140" t="s">
        <v>4155</v>
      </c>
      <c r="D167" s="136"/>
      <c r="E167" s="137"/>
      <c r="F167" s="133"/>
    </row>
    <row r="168" spans="1:6" ht="20.25" customHeight="1">
      <c r="A168" s="133"/>
      <c r="B168" s="134"/>
      <c r="C168" s="139" t="s">
        <v>5510</v>
      </c>
      <c r="D168" s="141">
        <f>4.5*6.42*2</f>
        <v>57.78</v>
      </c>
      <c r="E168" s="142"/>
      <c r="F168" s="143"/>
    </row>
    <row r="169" spans="1:6" ht="20.25" customHeight="1">
      <c r="A169" s="133"/>
      <c r="B169" s="134"/>
      <c r="C169" s="139" t="s">
        <v>5511</v>
      </c>
      <c r="D169" s="141">
        <f>4.5*1*2</f>
        <v>9</v>
      </c>
      <c r="E169" s="142">
        <f>5/12</f>
        <v>0.42</v>
      </c>
      <c r="F169" s="143"/>
    </row>
    <row r="170" spans="1:6" ht="20.25" customHeight="1">
      <c r="A170" s="133"/>
      <c r="B170" s="134"/>
      <c r="C170" s="139" t="s">
        <v>5512</v>
      </c>
      <c r="D170" s="141">
        <f>4.5*1*2</f>
        <v>9</v>
      </c>
      <c r="E170" s="142"/>
      <c r="F170" s="143"/>
    </row>
    <row r="171" spans="1:6" ht="20.25" customHeight="1">
      <c r="A171" s="133"/>
      <c r="B171" s="134"/>
      <c r="C171" s="139" t="s">
        <v>5244</v>
      </c>
      <c r="D171" s="141">
        <f>6.42*1*2</f>
        <v>12.84</v>
      </c>
      <c r="E171" s="142"/>
      <c r="F171" s="143"/>
    </row>
    <row r="172" spans="1:6" ht="20.25" customHeight="1">
      <c r="A172" s="133"/>
      <c r="B172" s="134"/>
      <c r="C172" s="139" t="s">
        <v>5243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5242</v>
      </c>
      <c r="D174" s="141">
        <f>SUM(D172:D173)</f>
        <v>97.48</v>
      </c>
      <c r="E174" s="142"/>
      <c r="F174" s="143"/>
    </row>
    <row r="175" spans="1:6" ht="20.25" customHeight="1">
      <c r="A175" s="144"/>
      <c r="B175" s="134"/>
      <c r="C175" s="140" t="s">
        <v>5241</v>
      </c>
      <c r="D175" s="141">
        <f>D174*1.17</f>
        <v>114.05</v>
      </c>
      <c r="E175" s="142"/>
      <c r="F175" s="143"/>
    </row>
    <row r="176" spans="1:6" ht="20.25" customHeight="1">
      <c r="A176" s="133"/>
      <c r="B176" s="134"/>
      <c r="C176" s="139" t="s">
        <v>5591</v>
      </c>
      <c r="D176" s="136"/>
      <c r="E176" s="137"/>
      <c r="F176" s="133"/>
    </row>
    <row r="177" spans="1:6" ht="20.25" customHeight="1">
      <c r="A177" s="133"/>
      <c r="B177" s="134"/>
      <c r="C177" s="139"/>
      <c r="D177" s="136"/>
      <c r="E177" s="137"/>
      <c r="F177" s="133"/>
    </row>
    <row r="178" spans="1:6" ht="20.25" customHeight="1">
      <c r="A178" s="133">
        <v>117.37</v>
      </c>
      <c r="B178" s="134" t="s">
        <v>913</v>
      </c>
      <c r="C178" s="139" t="s">
        <v>5499</v>
      </c>
      <c r="D178" s="136">
        <f>D16</f>
        <v>57.6</v>
      </c>
      <c r="E178" s="137" t="s">
        <v>913</v>
      </c>
      <c r="F178" s="133">
        <f>D178*A178</f>
        <v>6760.51</v>
      </c>
    </row>
    <row r="179" spans="1:6" ht="20.25" customHeight="1">
      <c r="A179" s="144"/>
      <c r="B179" s="134"/>
      <c r="C179" s="140" t="s">
        <v>4163</v>
      </c>
      <c r="D179" s="136"/>
      <c r="E179" s="137"/>
      <c r="F179" s="133"/>
    </row>
    <row r="180" spans="1:6" ht="20.25" customHeight="1">
      <c r="A180" s="133"/>
      <c r="B180" s="134"/>
      <c r="C180" s="139" t="s">
        <v>4164</v>
      </c>
      <c r="D180" s="136"/>
      <c r="E180" s="137"/>
      <c r="F180" s="133"/>
    </row>
    <row r="181" spans="1:6" ht="20.25" customHeight="1">
      <c r="A181" s="133"/>
      <c r="B181" s="134"/>
      <c r="C181" s="139" t="s">
        <v>5240</v>
      </c>
      <c r="D181" s="136"/>
      <c r="E181" s="137"/>
      <c r="F181" s="133"/>
    </row>
    <row r="182" spans="1:6" ht="20.25" customHeight="1">
      <c r="A182" s="133"/>
      <c r="B182" s="134"/>
      <c r="C182" s="139" t="s">
        <v>4166</v>
      </c>
      <c r="D182" s="136"/>
      <c r="E182" s="137"/>
      <c r="F182" s="133"/>
    </row>
    <row r="183" spans="1:6" ht="20.25" customHeight="1">
      <c r="A183" s="133"/>
      <c r="B183" s="134"/>
      <c r="C183" s="139" t="s">
        <v>5239</v>
      </c>
      <c r="D183" s="136"/>
      <c r="E183" s="137"/>
      <c r="F183" s="133"/>
    </row>
    <row r="184" spans="1:6" ht="20.25" customHeight="1">
      <c r="A184" s="133"/>
      <c r="B184" s="134"/>
      <c r="C184" s="139" t="s">
        <v>5238</v>
      </c>
      <c r="D184" s="136"/>
      <c r="E184" s="137"/>
      <c r="F184" s="133"/>
    </row>
    <row r="185" spans="1:6" ht="20.25" customHeight="1">
      <c r="A185" s="133"/>
      <c r="B185" s="134"/>
      <c r="C185" s="139" t="s">
        <v>5237</v>
      </c>
      <c r="D185" s="136"/>
      <c r="E185" s="137"/>
      <c r="F185" s="133"/>
    </row>
    <row r="186" spans="1:6" ht="20.25" customHeight="1">
      <c r="A186" s="133"/>
      <c r="B186" s="134"/>
      <c r="C186" s="139" t="s">
        <v>5236</v>
      </c>
      <c r="D186" s="136"/>
      <c r="E186" s="137"/>
      <c r="F186" s="133"/>
    </row>
    <row r="187" spans="1:6" ht="20.25" customHeight="1">
      <c r="A187" s="133">
        <v>67.23</v>
      </c>
      <c r="B187" s="134" t="s">
        <v>913</v>
      </c>
      <c r="C187" s="139" t="s">
        <v>5500</v>
      </c>
      <c r="D187" s="136">
        <f>D178</f>
        <v>57.6</v>
      </c>
      <c r="E187" s="137" t="s">
        <v>913</v>
      </c>
      <c r="F187" s="133">
        <f>SUM(A187*D187)</f>
        <v>3872.45</v>
      </c>
    </row>
    <row r="188" spans="1:6" ht="20.25" customHeight="1">
      <c r="A188" s="133"/>
      <c r="B188" s="134"/>
      <c r="C188" s="140" t="s">
        <v>4172</v>
      </c>
      <c r="D188" s="136"/>
      <c r="E188" s="137"/>
      <c r="F188" s="133"/>
    </row>
    <row r="189" spans="1:6" ht="20.25" customHeight="1">
      <c r="A189" s="133"/>
      <c r="B189" s="134"/>
      <c r="C189" s="139" t="s">
        <v>4173</v>
      </c>
      <c r="D189" s="136"/>
      <c r="E189" s="137"/>
      <c r="F189" s="133"/>
    </row>
    <row r="190" spans="1:6" ht="20.25" customHeight="1">
      <c r="A190" s="133"/>
      <c r="B190" s="134"/>
      <c r="C190" s="139" t="s">
        <v>4174</v>
      </c>
      <c r="D190" s="136"/>
      <c r="E190" s="137"/>
      <c r="F190" s="133"/>
    </row>
    <row r="191" spans="1:6" ht="20.25" customHeight="1">
      <c r="A191" s="133"/>
      <c r="B191" s="134"/>
      <c r="C191" s="139" t="s">
        <v>5501</v>
      </c>
      <c r="D191" s="136"/>
      <c r="E191" s="137"/>
      <c r="F191" s="133"/>
    </row>
    <row r="192" spans="1:6" ht="20.25" customHeight="1">
      <c r="A192" s="133"/>
      <c r="B192" s="134"/>
      <c r="C192" s="139" t="s">
        <v>4176</v>
      </c>
      <c r="D192" s="136"/>
      <c r="E192" s="137"/>
      <c r="F192" s="133"/>
    </row>
    <row r="193" spans="1:6" ht="20.25" customHeight="1">
      <c r="A193" s="133"/>
      <c r="B193" s="134"/>
      <c r="C193" s="139" t="s">
        <v>4177</v>
      </c>
      <c r="D193" s="136"/>
      <c r="E193" s="137"/>
      <c r="F193" s="133"/>
    </row>
    <row r="194" spans="1:6" ht="20.25" customHeight="1">
      <c r="A194" s="133"/>
      <c r="B194" s="134"/>
      <c r="C194" s="139" t="s">
        <v>4178</v>
      </c>
      <c r="D194" s="136"/>
      <c r="E194" s="137"/>
      <c r="F194" s="133"/>
    </row>
    <row r="195" spans="1:6" ht="20.25" customHeight="1">
      <c r="A195" s="133"/>
      <c r="B195" s="134"/>
      <c r="C195" s="139" t="s">
        <v>5502</v>
      </c>
      <c r="D195" s="136"/>
      <c r="E195" s="137"/>
      <c r="F195" s="133"/>
    </row>
    <row r="196" spans="1:6" ht="20.25" customHeight="1">
      <c r="A196" s="133"/>
      <c r="B196" s="134"/>
      <c r="C196" s="139" t="s">
        <v>4180</v>
      </c>
      <c r="D196" s="136"/>
      <c r="E196" s="137"/>
      <c r="F196" s="133"/>
    </row>
    <row r="197" spans="1:6" ht="20.25" customHeight="1">
      <c r="A197" s="133"/>
      <c r="B197" s="134"/>
      <c r="C197" s="139" t="s">
        <v>4181</v>
      </c>
      <c r="D197" s="136"/>
      <c r="E197" s="137"/>
      <c r="F197" s="133"/>
    </row>
    <row r="198" spans="1:6" ht="20.25" customHeight="1">
      <c r="A198" s="133"/>
      <c r="B198" s="134"/>
      <c r="C198" s="139" t="s">
        <v>4182</v>
      </c>
      <c r="D198" s="136"/>
      <c r="E198" s="137"/>
      <c r="F198" s="133"/>
    </row>
    <row r="199" spans="1:6" ht="20.25" customHeight="1">
      <c r="A199" s="133"/>
      <c r="B199" s="134"/>
      <c r="C199" s="139"/>
      <c r="D199" s="136"/>
      <c r="E199" s="137"/>
      <c r="F199" s="133"/>
    </row>
    <row r="200" spans="1:6" ht="20.25" customHeight="1">
      <c r="A200" s="133"/>
      <c r="B200" s="134"/>
      <c r="C200" s="139" t="s">
        <v>5503</v>
      </c>
      <c r="D200" s="136"/>
      <c r="E200" s="137"/>
      <c r="F200" s="133"/>
    </row>
    <row r="201" spans="1:6" ht="20.25" customHeight="1">
      <c r="A201" s="133"/>
      <c r="B201" s="134"/>
      <c r="C201" s="139"/>
      <c r="D201" s="136"/>
      <c r="E201" s="137"/>
      <c r="F201" s="133"/>
    </row>
    <row r="202" spans="1:6" ht="20.25" customHeight="1">
      <c r="A202" s="133">
        <v>6.2</v>
      </c>
      <c r="B202" s="134" t="s">
        <v>913</v>
      </c>
      <c r="C202" s="139" t="s">
        <v>5504</v>
      </c>
      <c r="D202" s="136">
        <f>D122</f>
        <v>562</v>
      </c>
      <c r="E202" s="137" t="s">
        <v>913</v>
      </c>
      <c r="F202" s="133">
        <f>SUM(A202*D202)</f>
        <v>3484.4</v>
      </c>
    </row>
    <row r="203" spans="1:6" ht="20.25" customHeight="1">
      <c r="A203" s="133">
        <v>6.2</v>
      </c>
      <c r="B203" s="134" t="s">
        <v>913</v>
      </c>
      <c r="C203" s="139" t="s">
        <v>5505</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4185</v>
      </c>
      <c r="D205" s="136">
        <f t="shared" si="9"/>
        <v>0</v>
      </c>
      <c r="E205" s="137"/>
      <c r="F205" s="133"/>
    </row>
    <row r="206" spans="1:6" ht="20.25" customHeight="1">
      <c r="A206" s="133"/>
      <c r="B206" s="134"/>
      <c r="C206" s="139" t="s">
        <v>4186</v>
      </c>
      <c r="D206" s="136">
        <f t="shared" si="9"/>
        <v>0</v>
      </c>
      <c r="E206" s="137"/>
      <c r="F206" s="133"/>
    </row>
    <row r="207" spans="1:6" ht="20.25" customHeight="1">
      <c r="A207" s="133"/>
      <c r="B207" s="134"/>
      <c r="C207" s="139" t="s">
        <v>5506</v>
      </c>
      <c r="D207" s="136">
        <f t="shared" si="9"/>
        <v>0</v>
      </c>
      <c r="E207" s="137"/>
      <c r="F207" s="133"/>
    </row>
    <row r="208" spans="1:6" ht="20.25" customHeight="1">
      <c r="A208" s="133"/>
      <c r="B208" s="134"/>
      <c r="C208" s="139" t="s">
        <v>5507</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5508</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5951</v>
      </c>
      <c r="D217" s="136">
        <v>843</v>
      </c>
      <c r="E217" s="137" t="s">
        <v>1398</v>
      </c>
      <c r="F217" s="133">
        <f t="shared" si="11"/>
        <v>3372</v>
      </c>
    </row>
    <row r="218" spans="1:6" ht="20.25" customHeight="1">
      <c r="A218" s="133">
        <v>1</v>
      </c>
      <c r="B218" s="134" t="s">
        <v>560</v>
      </c>
      <c r="C218" s="139" t="s">
        <v>5952</v>
      </c>
      <c r="D218" s="136">
        <v>428</v>
      </c>
      <c r="E218" s="137" t="s">
        <v>1398</v>
      </c>
      <c r="F218" s="133">
        <f t="shared" si="11"/>
        <v>428</v>
      </c>
    </row>
    <row r="219" spans="1:6" ht="20.25" customHeight="1">
      <c r="A219" s="176">
        <v>515</v>
      </c>
      <c r="B219" s="137" t="s">
        <v>4191</v>
      </c>
      <c r="C219" s="139" t="s">
        <v>5487</v>
      </c>
      <c r="D219" s="136">
        <f>D60</f>
        <v>1</v>
      </c>
      <c r="E219" s="137" t="s">
        <v>4191</v>
      </c>
      <c r="F219" s="133">
        <f t="shared" si="11"/>
        <v>515</v>
      </c>
    </row>
    <row r="220" spans="1:6" ht="20.25" customHeight="1">
      <c r="A220" s="133"/>
      <c r="B220" s="134"/>
      <c r="C220" s="139" t="s">
        <v>4193</v>
      </c>
      <c r="D220" s="136">
        <f>D61</f>
        <v>0</v>
      </c>
      <c r="E220" s="137"/>
      <c r="F220" s="133"/>
    </row>
    <row r="221" spans="1:6" ht="20.25" customHeight="1">
      <c r="A221" s="133">
        <v>1.27</v>
      </c>
      <c r="B221" s="134" t="s">
        <v>5544</v>
      </c>
      <c r="C221" s="139" t="s">
        <v>5490</v>
      </c>
      <c r="D221" s="136">
        <f t="shared" ref="D221:D228" si="12">D64</f>
        <v>1322</v>
      </c>
      <c r="E221" s="177" t="s">
        <v>5544</v>
      </c>
      <c r="F221" s="133">
        <f t="shared" ref="F221:F228" si="13">SUM(A221*D221)</f>
        <v>1678.94</v>
      </c>
    </row>
    <row r="222" spans="1:6" ht="20.25" customHeight="1">
      <c r="A222" s="133">
        <v>12</v>
      </c>
      <c r="B222" s="134" t="s">
        <v>1432</v>
      </c>
      <c r="C222" s="139" t="s">
        <v>5491</v>
      </c>
      <c r="D222" s="136">
        <f t="shared" si="12"/>
        <v>20</v>
      </c>
      <c r="E222" s="137" t="s">
        <v>1714</v>
      </c>
      <c r="F222" s="133">
        <f t="shared" si="13"/>
        <v>240</v>
      </c>
    </row>
    <row r="223" spans="1:6" ht="20.25" customHeight="1">
      <c r="A223" s="133">
        <v>1</v>
      </c>
      <c r="B223" s="134" t="s">
        <v>145</v>
      </c>
      <c r="C223" s="139" t="s">
        <v>5492</v>
      </c>
      <c r="D223" s="136">
        <f t="shared" si="12"/>
        <v>280</v>
      </c>
      <c r="E223" s="137" t="s">
        <v>145</v>
      </c>
      <c r="F223" s="133">
        <f t="shared" si="13"/>
        <v>280</v>
      </c>
    </row>
    <row r="224" spans="1:6" ht="20.25" customHeight="1">
      <c r="A224" s="133">
        <v>5</v>
      </c>
      <c r="B224" s="134" t="s">
        <v>3440</v>
      </c>
      <c r="C224" s="139" t="s">
        <v>5493</v>
      </c>
      <c r="D224" s="136">
        <f t="shared" si="12"/>
        <v>10.45</v>
      </c>
      <c r="E224" s="177" t="s">
        <v>3440</v>
      </c>
      <c r="F224" s="133">
        <f t="shared" si="13"/>
        <v>52.25</v>
      </c>
    </row>
    <row r="225" spans="1:6" ht="20.25" customHeight="1">
      <c r="A225" s="133">
        <f>117.37+67.23</f>
        <v>184.6</v>
      </c>
      <c r="B225" s="134" t="s">
        <v>913</v>
      </c>
      <c r="C225" s="139" t="s">
        <v>5494</v>
      </c>
      <c r="D225" s="136">
        <f t="shared" si="12"/>
        <v>52.5</v>
      </c>
      <c r="E225" s="177" t="s">
        <v>913</v>
      </c>
      <c r="F225" s="133">
        <f t="shared" si="13"/>
        <v>9691.5</v>
      </c>
    </row>
    <row r="226" spans="1:6" ht="20.25" customHeight="1">
      <c r="A226" s="133">
        <v>6</v>
      </c>
      <c r="B226" s="134" t="s">
        <v>1432</v>
      </c>
      <c r="C226" s="139" t="s">
        <v>5495</v>
      </c>
      <c r="D226" s="136">
        <f t="shared" si="12"/>
        <v>1086</v>
      </c>
      <c r="E226" s="177" t="s">
        <v>1714</v>
      </c>
      <c r="F226" s="133">
        <f t="shared" si="13"/>
        <v>6516</v>
      </c>
    </row>
    <row r="227" spans="1:6" ht="20.25" customHeight="1">
      <c r="A227" s="133">
        <v>182.4</v>
      </c>
      <c r="B227" s="134" t="s">
        <v>4198</v>
      </c>
      <c r="C227" s="139" t="s">
        <v>5496</v>
      </c>
      <c r="D227" s="136">
        <f t="shared" si="12"/>
        <v>10</v>
      </c>
      <c r="E227" s="177" t="s">
        <v>4200</v>
      </c>
      <c r="F227" s="133">
        <f t="shared" si="13"/>
        <v>1824</v>
      </c>
    </row>
    <row r="228" spans="1:6" ht="20.25" customHeight="1">
      <c r="A228" s="144">
        <v>36</v>
      </c>
      <c r="B228" s="134" t="s">
        <v>4201</v>
      </c>
      <c r="C228" s="139" t="s">
        <v>5509</v>
      </c>
      <c r="D228" s="136">
        <f t="shared" si="12"/>
        <v>60.65</v>
      </c>
      <c r="E228" s="178" t="s">
        <v>4202</v>
      </c>
      <c r="F228" s="133">
        <f t="shared" si="13"/>
        <v>2183.4</v>
      </c>
    </row>
    <row r="229" spans="1:6" ht="20.25" customHeight="1">
      <c r="A229" s="133"/>
      <c r="B229" s="134"/>
      <c r="C229" s="139" t="s">
        <v>4203</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4204</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4205</v>
      </c>
      <c r="D234" s="136"/>
      <c r="E234" s="137"/>
      <c r="F234" s="133">
        <v>1500</v>
      </c>
    </row>
    <row r="235" spans="1:6" ht="20.25" customHeight="1">
      <c r="A235" s="133"/>
      <c r="B235" s="134"/>
      <c r="C235" s="139" t="s">
        <v>4206</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4207</v>
      </c>
    </row>
    <row r="238" spans="1:6" ht="20.25" customHeight="1">
      <c r="A238" s="133"/>
      <c r="B238" s="134"/>
      <c r="C238" s="139"/>
      <c r="D238" s="136"/>
      <c r="E238" s="137"/>
      <c r="F238" s="138">
        <v>46900</v>
      </c>
    </row>
    <row r="239" spans="1:6" ht="20.25" customHeight="1">
      <c r="D239" s="1141" t="s">
        <v>975</v>
      </c>
      <c r="E239" s="1141"/>
      <c r="F239" s="1141"/>
    </row>
    <row r="244" spans="1:6" ht="20.25" customHeight="1">
      <c r="A244" s="182"/>
      <c r="B244" s="182"/>
      <c r="C244" s="181" t="s">
        <v>5541</v>
      </c>
      <c r="D244" s="183"/>
      <c r="E244" s="182"/>
      <c r="F244" s="182"/>
    </row>
    <row r="245" spans="1:6" ht="20.25" customHeight="1">
      <c r="A245" s="123"/>
      <c r="B245" s="124"/>
      <c r="C245" s="125" t="s">
        <v>5515</v>
      </c>
      <c r="D245" s="123"/>
      <c r="E245" s="126"/>
      <c r="F245" s="123"/>
    </row>
    <row r="246" spans="1:6" ht="20.25" customHeight="1">
      <c r="A246" s="123"/>
      <c r="B246" s="124"/>
      <c r="C246" s="127" t="s">
        <v>5516</v>
      </c>
      <c r="D246" s="123"/>
      <c r="E246" s="126"/>
      <c r="F246" s="123"/>
    </row>
    <row r="247" spans="1:6" ht="20.25" customHeight="1">
      <c r="A247" s="123"/>
      <c r="B247" s="124"/>
      <c r="C247" s="127" t="s">
        <v>4155</v>
      </c>
      <c r="D247" s="123"/>
      <c r="E247" s="126"/>
      <c r="F247" s="123"/>
    </row>
    <row r="248" spans="1:6" ht="20.25" customHeight="1">
      <c r="A248" s="123"/>
      <c r="B248" s="124"/>
      <c r="C248" s="128" t="s">
        <v>5517</v>
      </c>
      <c r="D248" s="123"/>
      <c r="E248" s="126"/>
      <c r="F248" s="123"/>
    </row>
    <row r="249" spans="1:6" ht="20.25" customHeight="1">
      <c r="A249" s="123"/>
      <c r="B249" s="124"/>
      <c r="C249" s="128" t="s">
        <v>5518</v>
      </c>
      <c r="D249" s="123"/>
      <c r="E249" s="126"/>
      <c r="F249" s="123"/>
    </row>
    <row r="250" spans="1:6" ht="20.25" customHeight="1">
      <c r="A250" s="123"/>
      <c r="B250" s="124"/>
      <c r="C250" s="128" t="s">
        <v>5519</v>
      </c>
      <c r="D250" s="123"/>
      <c r="E250" s="126"/>
      <c r="F250" s="123"/>
    </row>
    <row r="251" spans="1:6" ht="20.25" customHeight="1">
      <c r="A251" s="123"/>
      <c r="B251" s="124"/>
      <c r="C251" s="128" t="s">
        <v>5520</v>
      </c>
      <c r="D251" s="123"/>
      <c r="E251" s="126"/>
      <c r="F251" s="123"/>
    </row>
    <row r="252" spans="1:6" ht="20.25" customHeight="1">
      <c r="A252" s="123"/>
      <c r="B252" s="124"/>
      <c r="C252" s="127" t="s">
        <v>5521</v>
      </c>
      <c r="D252" s="123"/>
      <c r="E252" s="126"/>
      <c r="F252" s="123"/>
    </row>
    <row r="253" spans="1:6" ht="20.25" customHeight="1">
      <c r="A253" s="123"/>
      <c r="B253" s="124"/>
      <c r="C253" s="128" t="s">
        <v>5522</v>
      </c>
      <c r="D253" s="123"/>
      <c r="E253" s="126"/>
      <c r="F253" s="123"/>
    </row>
    <row r="254" spans="1:6" ht="20.25" customHeight="1">
      <c r="A254" s="123"/>
      <c r="B254" s="124"/>
      <c r="C254" s="127" t="s">
        <v>5523</v>
      </c>
      <c r="D254" s="123"/>
      <c r="E254" s="126"/>
      <c r="F254" s="123"/>
    </row>
    <row r="255" spans="1:6" ht="20.25" customHeight="1">
      <c r="A255" s="123"/>
      <c r="B255" s="124"/>
      <c r="C255" s="128" t="s">
        <v>5524</v>
      </c>
      <c r="D255" s="123"/>
      <c r="E255" s="126"/>
      <c r="F255" s="123"/>
    </row>
    <row r="256" spans="1:6" ht="20.25" customHeight="1">
      <c r="A256" s="123">
        <v>328.18</v>
      </c>
      <c r="B256" s="124" t="s">
        <v>913</v>
      </c>
      <c r="C256" s="128" t="s">
        <v>5499</v>
      </c>
      <c r="D256" s="123">
        <f>D178</f>
        <v>57.6</v>
      </c>
      <c r="E256" s="126" t="s">
        <v>913</v>
      </c>
      <c r="F256" s="123">
        <f>SUM(A256*D256)</f>
        <v>18903.169999999998</v>
      </c>
    </row>
    <row r="257" spans="1:6" ht="20.25" customHeight="1">
      <c r="A257" s="123"/>
      <c r="B257" s="124"/>
      <c r="C257" s="127" t="s">
        <v>4163</v>
      </c>
      <c r="D257" s="123"/>
      <c r="E257" s="126"/>
      <c r="F257" s="123"/>
    </row>
    <row r="258" spans="1:6" ht="20.25" customHeight="1">
      <c r="A258" s="123"/>
      <c r="B258" s="124"/>
      <c r="C258" s="128" t="s">
        <v>4164</v>
      </c>
      <c r="D258" s="123"/>
      <c r="E258" s="126"/>
      <c r="F258" s="123"/>
    </row>
    <row r="259" spans="1:6" ht="20.25" customHeight="1">
      <c r="A259" s="123"/>
      <c r="B259" s="124"/>
      <c r="C259" s="128" t="s">
        <v>5240</v>
      </c>
      <c r="D259" s="123"/>
      <c r="E259" s="126"/>
      <c r="F259" s="123"/>
    </row>
    <row r="260" spans="1:6" ht="20.25" customHeight="1">
      <c r="A260" s="123"/>
      <c r="B260" s="124"/>
      <c r="C260" s="128" t="s">
        <v>4166</v>
      </c>
      <c r="D260" s="123"/>
      <c r="E260" s="126"/>
      <c r="F260" s="123"/>
    </row>
    <row r="261" spans="1:6" ht="20.25" customHeight="1">
      <c r="A261" s="123"/>
      <c r="B261" s="124"/>
      <c r="C261" s="128" t="s">
        <v>5239</v>
      </c>
      <c r="D261" s="123"/>
      <c r="E261" s="126"/>
      <c r="F261" s="123"/>
    </row>
    <row r="262" spans="1:6" ht="20.25" customHeight="1">
      <c r="A262" s="123"/>
      <c r="B262" s="124"/>
      <c r="C262" s="128" t="s">
        <v>5525</v>
      </c>
      <c r="D262" s="123"/>
      <c r="E262" s="126"/>
      <c r="F262" s="123"/>
    </row>
    <row r="263" spans="1:6" ht="20.25" customHeight="1">
      <c r="A263" s="123"/>
      <c r="B263" s="124"/>
      <c r="C263" s="128" t="s">
        <v>5526</v>
      </c>
      <c r="D263" s="123"/>
      <c r="E263" s="126"/>
      <c r="F263" s="123"/>
    </row>
    <row r="264" spans="1:6" ht="20.25" customHeight="1">
      <c r="A264" s="123"/>
      <c r="B264" s="124"/>
      <c r="C264" s="128" t="s">
        <v>5527</v>
      </c>
      <c r="D264" s="123"/>
      <c r="E264" s="126"/>
      <c r="F264" s="123"/>
    </row>
    <row r="265" spans="1:6" ht="20.25" customHeight="1">
      <c r="A265" s="123">
        <v>68.400000000000006</v>
      </c>
      <c r="B265" s="124" t="s">
        <v>913</v>
      </c>
      <c r="C265" s="128" t="s">
        <v>4171</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4172</v>
      </c>
      <c r="D267" s="123"/>
      <c r="E267" s="126"/>
      <c r="F267" s="123"/>
    </row>
    <row r="268" spans="1:6" ht="20.25" customHeight="1">
      <c r="A268" s="123"/>
      <c r="B268" s="124"/>
      <c r="C268" s="128" t="s">
        <v>5528</v>
      </c>
      <c r="D268" s="123"/>
      <c r="E268" s="126"/>
      <c r="F268" s="123"/>
    </row>
    <row r="269" spans="1:6" ht="20.25" customHeight="1">
      <c r="A269" s="123"/>
      <c r="B269" s="124"/>
      <c r="C269" s="128" t="s">
        <v>5529</v>
      </c>
      <c r="D269" s="123"/>
      <c r="E269" s="126"/>
      <c r="F269" s="123"/>
    </row>
    <row r="270" spans="1:6" ht="20.25" customHeight="1">
      <c r="A270" s="123"/>
      <c r="B270" s="124"/>
      <c r="C270" s="128" t="s">
        <v>5530</v>
      </c>
      <c r="D270" s="123"/>
      <c r="E270" s="126"/>
      <c r="F270" s="123"/>
    </row>
    <row r="271" spans="1:6" ht="20.25" customHeight="1">
      <c r="A271" s="123"/>
      <c r="B271" s="124"/>
      <c r="C271" s="128" t="s">
        <v>5531</v>
      </c>
      <c r="D271" s="123"/>
      <c r="E271" s="126"/>
      <c r="F271" s="123"/>
    </row>
    <row r="272" spans="1:6" ht="20.25" customHeight="1">
      <c r="A272" s="123"/>
      <c r="B272" s="124"/>
      <c r="C272" s="128" t="s">
        <v>5532</v>
      </c>
      <c r="D272" s="123"/>
      <c r="E272" s="126"/>
      <c r="F272" s="123"/>
    </row>
    <row r="273" spans="1:6" ht="20.25" customHeight="1">
      <c r="A273" s="123"/>
      <c r="B273" s="124"/>
      <c r="C273" s="128" t="s">
        <v>5533</v>
      </c>
      <c r="D273" s="123"/>
      <c r="E273" s="126"/>
      <c r="F273" s="123"/>
    </row>
    <row r="274" spans="1:6" ht="20.25" customHeight="1">
      <c r="A274" s="123"/>
      <c r="B274" s="124"/>
      <c r="C274" s="128" t="s">
        <v>5534</v>
      </c>
      <c r="D274" s="123"/>
      <c r="E274" s="126"/>
      <c r="F274" s="123"/>
    </row>
    <row r="275" spans="1:6" ht="20.25" customHeight="1">
      <c r="A275" s="123"/>
      <c r="B275" s="124"/>
      <c r="C275" s="128" t="s">
        <v>5535</v>
      </c>
      <c r="D275" s="123"/>
      <c r="E275" s="126"/>
      <c r="F275" s="123"/>
    </row>
    <row r="276" spans="1:6" ht="20.25" customHeight="1">
      <c r="A276" s="123"/>
      <c r="B276" s="124"/>
      <c r="C276" s="128" t="s">
        <v>5536</v>
      </c>
      <c r="D276" s="123"/>
      <c r="E276" s="126"/>
      <c r="F276" s="123"/>
    </row>
    <row r="277" spans="1:6" ht="20.25" customHeight="1">
      <c r="A277" s="123">
        <v>41.64</v>
      </c>
      <c r="B277" s="124" t="s">
        <v>913</v>
      </c>
      <c r="C277" s="139" t="s">
        <v>5478</v>
      </c>
      <c r="D277" s="123">
        <f>D202</f>
        <v>562</v>
      </c>
      <c r="E277" s="126" t="s">
        <v>913</v>
      </c>
      <c r="F277" s="123">
        <f>D277*A277</f>
        <v>23401.68</v>
      </c>
    </row>
    <row r="278" spans="1:6" ht="20.25" customHeight="1">
      <c r="A278" s="123">
        <v>41.64</v>
      </c>
      <c r="B278" s="124" t="s">
        <v>913</v>
      </c>
      <c r="C278" s="128" t="s">
        <v>4184</v>
      </c>
      <c r="D278" s="123">
        <f>D203</f>
        <v>10</v>
      </c>
      <c r="E278" s="126" t="s">
        <v>913</v>
      </c>
      <c r="F278" s="123">
        <f>D278*A278</f>
        <v>416.4</v>
      </c>
    </row>
    <row r="279" spans="1:6" ht="20.25" customHeight="1">
      <c r="A279" s="123">
        <v>2886</v>
      </c>
      <c r="B279" s="124" t="s">
        <v>154</v>
      </c>
      <c r="C279" s="128" t="s">
        <v>4192</v>
      </c>
      <c r="D279" s="123">
        <f>D219</f>
        <v>1</v>
      </c>
      <c r="E279" s="126" t="s">
        <v>4191</v>
      </c>
      <c r="F279" s="123">
        <f>SUM(A279*D279)</f>
        <v>2886</v>
      </c>
    </row>
    <row r="280" spans="1:6" ht="20.25" customHeight="1">
      <c r="A280" s="123">
        <v>3</v>
      </c>
      <c r="B280" s="124" t="s">
        <v>560</v>
      </c>
      <c r="C280" s="128" t="s">
        <v>5542</v>
      </c>
      <c r="D280" s="123">
        <v>1700</v>
      </c>
      <c r="E280" s="126" t="s">
        <v>1714</v>
      </c>
      <c r="F280" s="123">
        <f>SUM(A280*D280)</f>
        <v>5100</v>
      </c>
    </row>
    <row r="281" spans="1:6" ht="20.25" customHeight="1">
      <c r="A281" s="123">
        <v>22</v>
      </c>
      <c r="B281" s="124" t="s">
        <v>1030</v>
      </c>
      <c r="C281" s="128" t="s">
        <v>5953</v>
      </c>
      <c r="D281" s="123">
        <v>1299</v>
      </c>
      <c r="E281" s="126" t="s">
        <v>1714</v>
      </c>
      <c r="F281" s="123">
        <f>SUM(A281*D281)</f>
        <v>28578</v>
      </c>
    </row>
    <row r="282" spans="1:6" ht="20.25" customHeight="1">
      <c r="A282" s="123">
        <v>66</v>
      </c>
      <c r="B282" s="124" t="s">
        <v>1030</v>
      </c>
      <c r="C282" s="128" t="s">
        <v>5955</v>
      </c>
      <c r="D282" s="158">
        <f>D134</f>
        <v>190.2</v>
      </c>
      <c r="E282" s="126" t="s">
        <v>1714</v>
      </c>
      <c r="F282" s="123">
        <f>D282*A282</f>
        <v>12553.2</v>
      </c>
    </row>
    <row r="283" spans="1:6" ht="20.25" customHeight="1">
      <c r="A283" s="123">
        <f>44*0.22</f>
        <v>9.68</v>
      </c>
      <c r="B283" s="124" t="s">
        <v>1645</v>
      </c>
      <c r="C283" s="128" t="s">
        <v>5537</v>
      </c>
      <c r="D283" s="123">
        <f>D277</f>
        <v>562</v>
      </c>
      <c r="E283" s="126" t="s">
        <v>1645</v>
      </c>
      <c r="F283" s="123">
        <f>D283*A283</f>
        <v>5440.16</v>
      </c>
    </row>
    <row r="284" spans="1:6" ht="20.25" customHeight="1">
      <c r="A284" s="123">
        <v>132</v>
      </c>
      <c r="B284" s="124" t="s">
        <v>4201</v>
      </c>
      <c r="C284" s="128" t="s">
        <v>5954</v>
      </c>
      <c r="D284" s="123">
        <v>91.25</v>
      </c>
      <c r="E284" s="126" t="s">
        <v>4202</v>
      </c>
      <c r="F284" s="123">
        <f>SUM(A284*D284)</f>
        <v>12045</v>
      </c>
    </row>
    <row r="285" spans="1:6" ht="20.25" customHeight="1">
      <c r="A285" s="123"/>
      <c r="B285" s="124"/>
      <c r="C285" s="128" t="s">
        <v>5538</v>
      </c>
      <c r="D285" s="123"/>
      <c r="E285" s="126"/>
      <c r="F285" s="123"/>
    </row>
    <row r="286" spans="1:6" ht="20.25" customHeight="1">
      <c r="A286" s="123"/>
      <c r="B286" s="124"/>
      <c r="C286" s="128" t="s">
        <v>5543</v>
      </c>
      <c r="D286" s="123"/>
      <c r="E286" s="126"/>
      <c r="F286" s="123"/>
    </row>
    <row r="287" spans="1:6" ht="20.25" customHeight="1">
      <c r="A287" s="123">
        <v>2.88</v>
      </c>
      <c r="B287" s="124" t="s">
        <v>5544</v>
      </c>
      <c r="C287" s="128" t="s">
        <v>5490</v>
      </c>
      <c r="D287" s="123">
        <f>D221</f>
        <v>1322</v>
      </c>
      <c r="E287" s="129" t="s">
        <v>5544</v>
      </c>
      <c r="F287" s="123">
        <f t="shared" ref="F287:F295" si="14">SUM(A287*D287)</f>
        <v>3807.36</v>
      </c>
    </row>
    <row r="288" spans="1:6" ht="20.25" customHeight="1">
      <c r="A288" s="123">
        <v>12</v>
      </c>
      <c r="B288" s="124" t="s">
        <v>1432</v>
      </c>
      <c r="C288" s="128" t="s">
        <v>4195</v>
      </c>
      <c r="D288" s="123">
        <v>20</v>
      </c>
      <c r="E288" s="126" t="s">
        <v>1714</v>
      </c>
      <c r="F288" s="123">
        <f t="shared" si="14"/>
        <v>240</v>
      </c>
    </row>
    <row r="289" spans="1:30" ht="20.25" customHeight="1">
      <c r="A289" s="123">
        <v>1</v>
      </c>
      <c r="B289" s="124" t="s">
        <v>1432</v>
      </c>
      <c r="C289" s="128" t="s">
        <v>4196</v>
      </c>
      <c r="D289" s="123">
        <v>280</v>
      </c>
      <c r="E289" s="126" t="s">
        <v>1714</v>
      </c>
      <c r="F289" s="123">
        <f t="shared" si="14"/>
        <v>280</v>
      </c>
    </row>
    <row r="290" spans="1:30" ht="20.25" customHeight="1">
      <c r="A290" s="123">
        <v>3</v>
      </c>
      <c r="B290" s="124" t="s">
        <v>1432</v>
      </c>
      <c r="C290" s="128" t="s">
        <v>5956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4198</v>
      </c>
      <c r="C292" s="128" t="str">
        <f>C148</f>
        <v>MS sheet fabrication charges [SR 2022-23 / P.29]</v>
      </c>
      <c r="D292" s="218">
        <f>D148</f>
        <v>52.5</v>
      </c>
      <c r="E292" s="129" t="s">
        <v>4200</v>
      </c>
      <c r="F292" s="123">
        <f t="shared" si="14"/>
        <v>17229.45</v>
      </c>
    </row>
    <row r="293" spans="1:30" ht="20.25" customHeight="1">
      <c r="A293" s="123">
        <v>68.400000000000006</v>
      </c>
      <c r="B293" s="124" t="s">
        <v>913</v>
      </c>
      <c r="C293" s="128" t="s">
        <v>5958</v>
      </c>
      <c r="D293" s="123">
        <f>D292</f>
        <v>52.5</v>
      </c>
      <c r="E293" s="129" t="s">
        <v>913</v>
      </c>
      <c r="F293" s="123">
        <f t="shared" si="14"/>
        <v>3591</v>
      </c>
    </row>
    <row r="294" spans="1:30" ht="20.25" customHeight="1">
      <c r="A294" s="123">
        <v>24</v>
      </c>
      <c r="B294" s="124" t="s">
        <v>1432</v>
      </c>
      <c r="C294" s="128" t="s">
        <v>5539</v>
      </c>
      <c r="D294" s="123">
        <v>501.25</v>
      </c>
      <c r="E294" s="129" t="s">
        <v>1714</v>
      </c>
      <c r="F294" s="123">
        <f t="shared" si="14"/>
        <v>12030</v>
      </c>
    </row>
    <row r="295" spans="1:30" ht="20.25" customHeight="1">
      <c r="A295" s="123">
        <v>510</v>
      </c>
      <c r="B295" s="124" t="s">
        <v>4198</v>
      </c>
      <c r="C295" s="128" t="s">
        <v>5540</v>
      </c>
      <c r="D295" s="123">
        <v>10</v>
      </c>
      <c r="E295" s="129" t="s">
        <v>4200</v>
      </c>
      <c r="F295" s="123">
        <f t="shared" si="14"/>
        <v>5100</v>
      </c>
    </row>
    <row r="296" spans="1:30" ht="20.25" customHeight="1">
      <c r="A296" s="123"/>
      <c r="B296" s="124"/>
      <c r="C296" s="128" t="s">
        <v>4203</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4204</v>
      </c>
      <c r="D298" s="123"/>
      <c r="E298" s="126"/>
      <c r="F298" s="123">
        <f>F297*2%</f>
        <v>3118.75</v>
      </c>
    </row>
    <row r="299" spans="1:30" ht="20.25" customHeight="1">
      <c r="A299" s="123"/>
      <c r="B299" s="124"/>
      <c r="C299" s="128" t="s">
        <v>4205</v>
      </c>
      <c r="D299" s="123"/>
      <c r="E299" s="126"/>
      <c r="F299" s="123">
        <v>1000</v>
      </c>
    </row>
    <row r="300" spans="1:30" ht="20.25" customHeight="1">
      <c r="A300" s="123"/>
      <c r="B300" s="124"/>
      <c r="C300" s="128" t="s">
        <v>4206</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5446</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5579</v>
      </c>
      <c r="D306" s="183"/>
      <c r="E306" s="182"/>
      <c r="F306" s="182"/>
    </row>
    <row r="307" spans="1:6" ht="20.25" customHeight="1">
      <c r="A307" s="123"/>
      <c r="B307" s="124"/>
      <c r="C307" s="125" t="s">
        <v>5515</v>
      </c>
      <c r="D307" s="123"/>
      <c r="E307" s="126"/>
      <c r="F307" s="123"/>
    </row>
    <row r="308" spans="1:6" ht="20.25" customHeight="1">
      <c r="A308" s="123"/>
      <c r="B308" s="124"/>
      <c r="C308" s="127" t="s">
        <v>5548</v>
      </c>
      <c r="D308" s="123"/>
      <c r="E308" s="126"/>
      <c r="F308" s="123"/>
    </row>
    <row r="309" spans="1:6" ht="20.25" customHeight="1">
      <c r="A309" s="123"/>
      <c r="B309" s="124"/>
      <c r="C309" s="127" t="s">
        <v>4155</v>
      </c>
      <c r="D309" s="123"/>
      <c r="E309" s="126"/>
      <c r="F309" s="123"/>
    </row>
    <row r="310" spans="1:6" ht="20.25" customHeight="1">
      <c r="A310" s="123"/>
      <c r="B310" s="124"/>
      <c r="C310" s="128" t="s">
        <v>5549</v>
      </c>
      <c r="D310" s="123"/>
      <c r="E310" s="126"/>
      <c r="F310" s="123"/>
    </row>
    <row r="311" spans="1:6" ht="20.25" customHeight="1">
      <c r="A311" s="123"/>
      <c r="B311" s="124"/>
      <c r="C311" s="128" t="s">
        <v>5550</v>
      </c>
      <c r="D311" s="123"/>
      <c r="E311" s="126"/>
      <c r="F311" s="123"/>
    </row>
    <row r="312" spans="1:6" ht="20.25" customHeight="1">
      <c r="A312" s="123"/>
      <c r="B312" s="124"/>
      <c r="C312" s="128" t="s">
        <v>5551</v>
      </c>
      <c r="D312" s="123"/>
      <c r="E312" s="126"/>
      <c r="F312" s="123"/>
    </row>
    <row r="313" spans="1:6" ht="20.25" customHeight="1">
      <c r="A313" s="123"/>
      <c r="B313" s="124"/>
      <c r="C313" s="128" t="s">
        <v>5552</v>
      </c>
      <c r="D313" s="123"/>
      <c r="E313" s="126"/>
      <c r="F313" s="123"/>
    </row>
    <row r="314" spans="1:6" ht="20.25" customHeight="1">
      <c r="A314" s="123"/>
      <c r="B314" s="124"/>
      <c r="C314" s="127" t="s">
        <v>5553</v>
      </c>
      <c r="D314" s="123"/>
      <c r="E314" s="126"/>
      <c r="F314" s="123"/>
    </row>
    <row r="315" spans="1:6" ht="20.25" customHeight="1">
      <c r="A315" s="123"/>
      <c r="B315" s="124"/>
      <c r="C315" s="128" t="s">
        <v>5554</v>
      </c>
      <c r="D315" s="123"/>
      <c r="E315" s="126"/>
      <c r="F315" s="123"/>
    </row>
    <row r="316" spans="1:6" ht="20.25" customHeight="1">
      <c r="A316" s="123"/>
      <c r="B316" s="124"/>
      <c r="C316" s="127" t="s">
        <v>5555</v>
      </c>
      <c r="D316" s="123"/>
      <c r="E316" s="126"/>
      <c r="F316" s="123"/>
    </row>
    <row r="317" spans="1:6" ht="20.25" customHeight="1">
      <c r="A317" s="123"/>
      <c r="B317" s="124"/>
      <c r="C317" s="128" t="s">
        <v>5556</v>
      </c>
      <c r="D317" s="123"/>
      <c r="E317" s="126"/>
      <c r="F317" s="123"/>
    </row>
    <row r="318" spans="1:6" ht="20.25" customHeight="1">
      <c r="A318" s="123">
        <v>121.62</v>
      </c>
      <c r="B318" s="124" t="s">
        <v>913</v>
      </c>
      <c r="C318" s="128" t="s">
        <v>5499</v>
      </c>
      <c r="D318" s="123">
        <f>D256</f>
        <v>57.6</v>
      </c>
      <c r="E318" s="126" t="s">
        <v>913</v>
      </c>
      <c r="F318" s="123">
        <f>SUM(A318*D318)</f>
        <v>7005.31</v>
      </c>
    </row>
    <row r="319" spans="1:6" ht="20.25" customHeight="1">
      <c r="A319" s="123"/>
      <c r="B319" s="124"/>
      <c r="C319" s="127" t="s">
        <v>4163</v>
      </c>
      <c r="D319" s="123">
        <f t="shared" ref="D319:D338" si="15">D257</f>
        <v>0</v>
      </c>
      <c r="E319" s="126"/>
      <c r="F319" s="123"/>
    </row>
    <row r="320" spans="1:6" ht="20.25" customHeight="1">
      <c r="A320" s="123"/>
      <c r="B320" s="124"/>
      <c r="C320" s="128" t="s">
        <v>4164</v>
      </c>
      <c r="D320" s="123">
        <f t="shared" si="15"/>
        <v>0</v>
      </c>
      <c r="E320" s="126"/>
      <c r="F320" s="123"/>
    </row>
    <row r="321" spans="1:6" ht="20.25" customHeight="1">
      <c r="A321" s="123"/>
      <c r="B321" s="124"/>
      <c r="C321" s="128" t="s">
        <v>5240</v>
      </c>
      <c r="D321" s="123">
        <f t="shared" si="15"/>
        <v>0</v>
      </c>
      <c r="E321" s="126"/>
      <c r="F321" s="123"/>
    </row>
    <row r="322" spans="1:6" ht="20.25" customHeight="1">
      <c r="A322" s="123"/>
      <c r="B322" s="124"/>
      <c r="C322" s="128" t="s">
        <v>5557</v>
      </c>
      <c r="D322" s="123">
        <f t="shared" si="15"/>
        <v>0</v>
      </c>
      <c r="E322" s="126"/>
      <c r="F322" s="123"/>
    </row>
    <row r="323" spans="1:6" ht="20.25" customHeight="1">
      <c r="A323" s="123"/>
      <c r="B323" s="124"/>
      <c r="C323" s="128" t="s">
        <v>5239</v>
      </c>
      <c r="D323" s="123">
        <f t="shared" si="15"/>
        <v>0</v>
      </c>
      <c r="E323" s="126"/>
      <c r="F323" s="123"/>
    </row>
    <row r="324" spans="1:6" ht="20.25" customHeight="1">
      <c r="A324" s="123"/>
      <c r="B324" s="124"/>
      <c r="C324" s="128" t="s">
        <v>5558</v>
      </c>
      <c r="D324" s="123">
        <f t="shared" si="15"/>
        <v>0</v>
      </c>
      <c r="E324" s="126"/>
      <c r="F324" s="123"/>
    </row>
    <row r="325" spans="1:6" ht="20.25" customHeight="1">
      <c r="A325" s="123"/>
      <c r="B325" s="124"/>
      <c r="C325" s="128" t="s">
        <v>5559</v>
      </c>
      <c r="D325" s="123">
        <f t="shared" si="15"/>
        <v>0</v>
      </c>
      <c r="E325" s="126"/>
      <c r="F325" s="123"/>
    </row>
    <row r="326" spans="1:6" ht="20.25" customHeight="1">
      <c r="A326" s="123"/>
      <c r="B326" s="124"/>
      <c r="C326" s="128" t="s">
        <v>5560</v>
      </c>
      <c r="D326" s="123">
        <f t="shared" si="15"/>
        <v>0</v>
      </c>
      <c r="E326" s="126"/>
      <c r="F326" s="123"/>
    </row>
    <row r="327" spans="1:6" ht="20.25" customHeight="1">
      <c r="A327" s="123">
        <v>52.8</v>
      </c>
      <c r="B327" s="124" t="s">
        <v>913</v>
      </c>
      <c r="C327" s="128" t="s">
        <v>4171</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4172</v>
      </c>
      <c r="D329" s="123">
        <f t="shared" si="15"/>
        <v>0</v>
      </c>
      <c r="E329" s="126"/>
      <c r="F329" s="123">
        <f t="shared" si="16"/>
        <v>0</v>
      </c>
    </row>
    <row r="330" spans="1:6" ht="20.25" customHeight="1">
      <c r="A330" s="123"/>
      <c r="B330" s="124"/>
      <c r="C330" s="128" t="s">
        <v>5561</v>
      </c>
      <c r="D330" s="123">
        <f t="shared" si="15"/>
        <v>0</v>
      </c>
      <c r="E330" s="126"/>
      <c r="F330" s="123">
        <f t="shared" si="16"/>
        <v>0</v>
      </c>
    </row>
    <row r="331" spans="1:6" ht="20.25" customHeight="1">
      <c r="A331" s="123"/>
      <c r="B331" s="124"/>
      <c r="C331" s="128" t="s">
        <v>5562</v>
      </c>
      <c r="D331" s="123">
        <f t="shared" si="15"/>
        <v>0</v>
      </c>
      <c r="E331" s="126"/>
      <c r="F331" s="123">
        <f t="shared" si="16"/>
        <v>0</v>
      </c>
    </row>
    <row r="332" spans="1:6" ht="20.25" customHeight="1">
      <c r="A332" s="123"/>
      <c r="B332" s="124"/>
      <c r="C332" s="128" t="s">
        <v>5563</v>
      </c>
      <c r="D332" s="123">
        <f t="shared" si="15"/>
        <v>0</v>
      </c>
      <c r="E332" s="126"/>
      <c r="F332" s="123">
        <f t="shared" si="16"/>
        <v>0</v>
      </c>
    </row>
    <row r="333" spans="1:6" ht="20.25" customHeight="1">
      <c r="A333" s="123"/>
      <c r="B333" s="124"/>
      <c r="C333" s="128" t="s">
        <v>5564</v>
      </c>
      <c r="D333" s="123">
        <f t="shared" si="15"/>
        <v>0</v>
      </c>
      <c r="E333" s="126"/>
      <c r="F333" s="123">
        <f t="shared" si="16"/>
        <v>0</v>
      </c>
    </row>
    <row r="334" spans="1:6" ht="20.25" customHeight="1">
      <c r="A334" s="123"/>
      <c r="B334" s="124"/>
      <c r="C334" s="128" t="s">
        <v>5565</v>
      </c>
      <c r="D334" s="123">
        <f t="shared" si="15"/>
        <v>0</v>
      </c>
      <c r="E334" s="126"/>
      <c r="F334" s="123">
        <f t="shared" si="16"/>
        <v>0</v>
      </c>
    </row>
    <row r="335" spans="1:6" ht="20.25" customHeight="1">
      <c r="A335" s="123"/>
      <c r="B335" s="124"/>
      <c r="C335" s="128" t="s">
        <v>5566</v>
      </c>
      <c r="D335" s="123">
        <f t="shared" si="15"/>
        <v>0</v>
      </c>
      <c r="E335" s="126"/>
      <c r="F335" s="123">
        <f t="shared" si="16"/>
        <v>0</v>
      </c>
    </row>
    <row r="336" spans="1:6" ht="20.25" customHeight="1">
      <c r="A336" s="123"/>
      <c r="B336" s="124"/>
      <c r="C336" s="128" t="s">
        <v>5567</v>
      </c>
      <c r="D336" s="123">
        <f t="shared" si="15"/>
        <v>0</v>
      </c>
      <c r="E336" s="126"/>
      <c r="F336" s="123">
        <f t="shared" si="16"/>
        <v>0</v>
      </c>
    </row>
    <row r="337" spans="1:6" ht="20.25" customHeight="1">
      <c r="A337" s="123"/>
      <c r="B337" s="124"/>
      <c r="C337" s="128" t="s">
        <v>5568</v>
      </c>
      <c r="D337" s="123">
        <f t="shared" si="15"/>
        <v>0</v>
      </c>
      <c r="E337" s="126"/>
      <c r="F337" s="123">
        <f t="shared" si="16"/>
        <v>0</v>
      </c>
    </row>
    <row r="338" spans="1:6" ht="20.25" customHeight="1">
      <c r="A338" s="123"/>
      <c r="B338" s="124"/>
      <c r="C338" s="128" t="s">
        <v>5569</v>
      </c>
      <c r="D338" s="123">
        <f t="shared" si="15"/>
        <v>0</v>
      </c>
      <c r="E338" s="126"/>
      <c r="F338" s="123">
        <f t="shared" si="16"/>
        <v>0</v>
      </c>
    </row>
    <row r="339" spans="1:6" ht="20.25" customHeight="1">
      <c r="A339" s="123"/>
      <c r="B339" s="124"/>
      <c r="C339" s="128" t="s">
        <v>5570</v>
      </c>
      <c r="E339" s="126"/>
      <c r="F339" s="123">
        <f t="shared" si="16"/>
        <v>0</v>
      </c>
    </row>
    <row r="340" spans="1:6" ht="20.25" customHeight="1">
      <c r="A340" s="123"/>
      <c r="B340" s="124"/>
      <c r="C340" s="128" t="s">
        <v>5571</v>
      </c>
      <c r="E340" s="126"/>
      <c r="F340" s="123">
        <f t="shared" si="16"/>
        <v>0</v>
      </c>
    </row>
    <row r="341" spans="1:6" ht="20.25" customHeight="1">
      <c r="A341" s="123">
        <v>23.63</v>
      </c>
      <c r="B341" s="124" t="s">
        <v>913</v>
      </c>
      <c r="C341" s="139" t="s">
        <v>5478</v>
      </c>
      <c r="D341" s="123">
        <f>D277</f>
        <v>562</v>
      </c>
      <c r="E341" s="126" t="s">
        <v>913</v>
      </c>
      <c r="F341" s="123">
        <f t="shared" si="16"/>
        <v>13280.06</v>
      </c>
    </row>
    <row r="342" spans="1:6" ht="20.25" customHeight="1">
      <c r="A342" s="123">
        <v>23.63</v>
      </c>
      <c r="B342" s="124" t="s">
        <v>913</v>
      </c>
      <c r="C342" s="128" t="s">
        <v>4184</v>
      </c>
      <c r="D342" s="123">
        <f>D278</f>
        <v>10</v>
      </c>
      <c r="E342" s="126" t="s">
        <v>913</v>
      </c>
      <c r="F342" s="123">
        <f t="shared" si="16"/>
        <v>236.3</v>
      </c>
    </row>
    <row r="343" spans="1:6" ht="20.25" customHeight="1">
      <c r="A343" s="123">
        <v>878</v>
      </c>
      <c r="B343" s="124" t="s">
        <v>154</v>
      </c>
      <c r="C343" s="128" t="s">
        <v>4192</v>
      </c>
      <c r="D343" s="123">
        <f>D279</f>
        <v>1</v>
      </c>
      <c r="E343" s="126" t="s">
        <v>4191</v>
      </c>
      <c r="F343" s="123">
        <f t="shared" si="16"/>
        <v>878</v>
      </c>
    </row>
    <row r="344" spans="1:6" ht="20.25" customHeight="1">
      <c r="A344" s="123">
        <v>1</v>
      </c>
      <c r="B344" s="124" t="s">
        <v>560</v>
      </c>
      <c r="C344" s="128" t="s">
        <v>5572</v>
      </c>
      <c r="D344" s="123">
        <v>16616</v>
      </c>
      <c r="E344" s="126" t="s">
        <v>1714</v>
      </c>
      <c r="F344" s="123">
        <f t="shared" si="16"/>
        <v>16616</v>
      </c>
    </row>
    <row r="345" spans="1:6" ht="20.25" customHeight="1">
      <c r="A345" s="123">
        <v>3</v>
      </c>
      <c r="B345" s="124" t="s">
        <v>560</v>
      </c>
      <c r="C345" s="128" t="s">
        <v>5578</v>
      </c>
      <c r="D345" s="123">
        <v>9000</v>
      </c>
      <c r="E345" s="126" t="s">
        <v>1714</v>
      </c>
      <c r="F345" s="123">
        <f>SUM(A345*D345)</f>
        <v>27000</v>
      </c>
    </row>
    <row r="346" spans="1:6" ht="20.25" customHeight="1">
      <c r="A346" s="123">
        <v>6</v>
      </c>
      <c r="B346" s="124" t="s">
        <v>1030</v>
      </c>
      <c r="C346" s="128" t="s">
        <v>5573</v>
      </c>
      <c r="D346" s="123">
        <v>3775</v>
      </c>
      <c r="E346" s="126" t="s">
        <v>1714</v>
      </c>
      <c r="F346" s="123">
        <f t="shared" si="16"/>
        <v>22650</v>
      </c>
    </row>
    <row r="347" spans="1:6" ht="20.25" customHeight="1">
      <c r="A347" s="123"/>
      <c r="B347" s="124"/>
      <c r="C347" s="128" t="s">
        <v>5451</v>
      </c>
      <c r="D347" s="126"/>
      <c r="E347" s="126"/>
      <c r="F347" s="123"/>
    </row>
    <row r="348" spans="1:6" ht="20.25" customHeight="1">
      <c r="A348" s="123"/>
      <c r="B348" s="124"/>
      <c r="C348" s="128" t="s">
        <v>5574</v>
      </c>
      <c r="D348" s="126"/>
      <c r="E348" s="126"/>
      <c r="F348" s="123"/>
    </row>
    <row r="349" spans="1:6" ht="20.25" customHeight="1">
      <c r="A349" s="132">
        <v>1.728</v>
      </c>
      <c r="B349" s="124" t="s">
        <v>5544</v>
      </c>
      <c r="C349" s="128" t="s">
        <v>5577</v>
      </c>
      <c r="D349" s="126">
        <v>1260</v>
      </c>
      <c r="E349" s="129" t="s">
        <v>5544</v>
      </c>
      <c r="F349" s="123">
        <f t="shared" ref="F349:F357" si="17">SUM(A349*D349)</f>
        <v>2177.2800000000002</v>
      </c>
    </row>
    <row r="350" spans="1:6" ht="20.25" customHeight="1">
      <c r="A350" s="123">
        <v>12</v>
      </c>
      <c r="B350" s="124" t="s">
        <v>1432</v>
      </c>
      <c r="C350" s="128" t="s">
        <v>4195</v>
      </c>
      <c r="D350" s="126">
        <v>20</v>
      </c>
      <c r="E350" s="126" t="s">
        <v>1714</v>
      </c>
      <c r="F350" s="123">
        <f t="shared" si="17"/>
        <v>240</v>
      </c>
    </row>
    <row r="351" spans="1:6" ht="20.25" customHeight="1">
      <c r="A351" s="123">
        <v>3</v>
      </c>
      <c r="B351" s="124" t="s">
        <v>1432</v>
      </c>
      <c r="C351" s="128" t="s">
        <v>4196</v>
      </c>
      <c r="D351" s="126">
        <v>280</v>
      </c>
      <c r="E351" s="126" t="s">
        <v>1714</v>
      </c>
      <c r="F351" s="123">
        <f t="shared" si="17"/>
        <v>840</v>
      </c>
    </row>
    <row r="352" spans="1:6" ht="20.25" customHeight="1">
      <c r="A352" s="123">
        <v>3</v>
      </c>
      <c r="B352" s="124" t="s">
        <v>1432</v>
      </c>
      <c r="C352" s="128" t="s">
        <v>5452</v>
      </c>
      <c r="D352" s="126">
        <v>35</v>
      </c>
      <c r="E352" s="126" t="s">
        <v>1714</v>
      </c>
      <c r="F352" s="123">
        <f t="shared" si="17"/>
        <v>105</v>
      </c>
    </row>
    <row r="353" spans="1:6" ht="20.25" customHeight="1">
      <c r="A353" s="123">
        <v>5</v>
      </c>
      <c r="B353" s="124" t="s">
        <v>3440</v>
      </c>
      <c r="C353" s="128" t="s">
        <v>5575</v>
      </c>
      <c r="D353" s="126">
        <v>9.8000000000000007</v>
      </c>
      <c r="E353" s="129" t="s">
        <v>3440</v>
      </c>
      <c r="F353" s="123">
        <f t="shared" si="17"/>
        <v>49</v>
      </c>
    </row>
    <row r="354" spans="1:6" ht="20.25" customHeight="1">
      <c r="A354" s="123">
        <v>121.62</v>
      </c>
      <c r="B354" s="124" t="s">
        <v>913</v>
      </c>
      <c r="C354" s="128" t="s">
        <v>5453</v>
      </c>
      <c r="D354" s="126">
        <v>47.8</v>
      </c>
      <c r="E354" s="129" t="s">
        <v>913</v>
      </c>
      <c r="F354" s="123">
        <f t="shared" si="17"/>
        <v>5813.44</v>
      </c>
    </row>
    <row r="355" spans="1:6" ht="20.25" customHeight="1">
      <c r="A355" s="123">
        <v>52.8</v>
      </c>
      <c r="B355" s="124" t="s">
        <v>913</v>
      </c>
      <c r="C355" s="128" t="s">
        <v>5454</v>
      </c>
      <c r="D355" s="126">
        <v>47.8</v>
      </c>
      <c r="E355" s="129" t="s">
        <v>913</v>
      </c>
      <c r="F355" s="123">
        <f t="shared" si="17"/>
        <v>2523.84</v>
      </c>
    </row>
    <row r="356" spans="1:6" ht="20.25" customHeight="1">
      <c r="A356" s="123">
        <v>11</v>
      </c>
      <c r="B356" s="124" t="s">
        <v>1432</v>
      </c>
      <c r="C356" s="128" t="s">
        <v>5576</v>
      </c>
      <c r="D356" s="126">
        <v>456</v>
      </c>
      <c r="E356" s="129" t="s">
        <v>1714</v>
      </c>
      <c r="F356" s="123">
        <f t="shared" si="17"/>
        <v>5016</v>
      </c>
    </row>
    <row r="357" spans="1:6" ht="20.25" customHeight="1">
      <c r="A357" s="123">
        <v>189</v>
      </c>
      <c r="B357" s="124" t="s">
        <v>4198</v>
      </c>
      <c r="C357" s="128" t="s">
        <v>4199</v>
      </c>
      <c r="D357" s="126">
        <v>10</v>
      </c>
      <c r="E357" s="129" t="s">
        <v>4200</v>
      </c>
      <c r="F357" s="123">
        <f t="shared" si="17"/>
        <v>1890</v>
      </c>
    </row>
    <row r="358" spans="1:6" ht="20.25" customHeight="1">
      <c r="A358" s="123"/>
      <c r="B358" s="124"/>
      <c r="C358" s="128" t="s">
        <v>4203</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4204</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4205</v>
      </c>
      <c r="D362" s="126"/>
      <c r="E362" s="126"/>
      <c r="F362" s="123">
        <v>2000</v>
      </c>
    </row>
    <row r="363" spans="1:6" ht="20.25" customHeight="1">
      <c r="A363" s="123"/>
      <c r="B363" s="124"/>
      <c r="C363" s="128" t="s">
        <v>4206</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5446</v>
      </c>
      <c r="F365" s="159">
        <v>114783</v>
      </c>
    </row>
    <row r="366" spans="1:6" ht="20.25" customHeight="1">
      <c r="A366" s="123"/>
      <c r="B366" s="124"/>
      <c r="C366" s="128"/>
      <c r="D366" s="123"/>
      <c r="E366" s="126"/>
      <c r="F366" s="130"/>
    </row>
    <row r="367" spans="1:6" ht="20.25" customHeight="1">
      <c r="A367" s="133"/>
      <c r="B367" s="134"/>
      <c r="C367" s="135" t="s">
        <v>5497</v>
      </c>
      <c r="D367" s="136"/>
      <c r="E367" s="137"/>
      <c r="F367" s="138"/>
    </row>
    <row r="368" spans="1:6" ht="20.25" customHeight="1">
      <c r="A368" s="133"/>
      <c r="B368" s="134"/>
      <c r="C368" s="139" t="s">
        <v>5580</v>
      </c>
      <c r="D368" s="136"/>
      <c r="E368" s="137"/>
      <c r="F368" s="133"/>
    </row>
    <row r="369" spans="1:6" ht="20.25" customHeight="1">
      <c r="A369" s="133"/>
      <c r="B369" s="134"/>
      <c r="C369" s="140" t="s">
        <v>4155</v>
      </c>
      <c r="D369" s="136"/>
      <c r="E369" s="137"/>
      <c r="F369" s="133"/>
    </row>
    <row r="370" spans="1:6" ht="20.25" customHeight="1">
      <c r="A370" s="133"/>
      <c r="B370" s="134"/>
      <c r="C370" s="139" t="s">
        <v>5581</v>
      </c>
      <c r="D370" s="141">
        <f>4.5*6.42*2</f>
        <v>57.78</v>
      </c>
      <c r="E370" s="142"/>
      <c r="F370" s="143"/>
    </row>
    <row r="371" spans="1:6" ht="20.25" customHeight="1">
      <c r="A371" s="133"/>
      <c r="B371" s="134"/>
      <c r="C371" s="139" t="s">
        <v>5582</v>
      </c>
      <c r="D371" s="141">
        <f>4.5*1*2</f>
        <v>9</v>
      </c>
      <c r="E371" s="142">
        <f>5/12</f>
        <v>0.42</v>
      </c>
      <c r="F371" s="143"/>
    </row>
    <row r="372" spans="1:6" ht="20.25" customHeight="1">
      <c r="A372" s="133"/>
      <c r="B372" s="134"/>
      <c r="C372" s="139" t="s">
        <v>5512</v>
      </c>
      <c r="D372" s="141">
        <f>4.5*1*2</f>
        <v>9</v>
      </c>
      <c r="E372" s="142"/>
      <c r="F372" s="143"/>
    </row>
    <row r="373" spans="1:6" ht="20.25" customHeight="1">
      <c r="A373" s="133"/>
      <c r="B373" s="134"/>
      <c r="C373" s="139" t="s">
        <v>5244</v>
      </c>
      <c r="D373" s="141">
        <f>6.42*1*2</f>
        <v>12.84</v>
      </c>
      <c r="E373" s="142"/>
      <c r="F373" s="143"/>
    </row>
    <row r="374" spans="1:6" ht="20.25" customHeight="1">
      <c r="A374" s="133"/>
      <c r="B374" s="134"/>
      <c r="C374" s="139" t="s">
        <v>5243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5242</v>
      </c>
      <c r="D376" s="141">
        <f>SUM(D374:D375)</f>
        <v>97.48</v>
      </c>
      <c r="E376" s="142"/>
      <c r="F376" s="143"/>
    </row>
    <row r="377" spans="1:6" ht="20.25" customHeight="1">
      <c r="A377" s="144"/>
      <c r="B377" s="134"/>
      <c r="C377" s="140" t="s">
        <v>5241</v>
      </c>
      <c r="D377" s="141">
        <f>D376*1.17</f>
        <v>114.05</v>
      </c>
      <c r="E377" s="142"/>
      <c r="F377" s="143"/>
    </row>
    <row r="378" spans="1:6" ht="20.25" customHeight="1">
      <c r="A378" s="133"/>
      <c r="B378" s="134"/>
      <c r="C378" s="139" t="s">
        <v>5591</v>
      </c>
      <c r="D378" s="136"/>
      <c r="E378" s="137"/>
      <c r="F378" s="133"/>
    </row>
    <row r="379" spans="1:6" ht="20.25" customHeight="1">
      <c r="A379" s="133"/>
      <c r="B379" s="134"/>
      <c r="C379" s="139"/>
      <c r="D379" s="136"/>
      <c r="E379" s="137"/>
      <c r="F379" s="133"/>
    </row>
    <row r="380" spans="1:6" ht="20.25" customHeight="1">
      <c r="A380" s="133">
        <v>46.33</v>
      </c>
      <c r="B380" s="134" t="s">
        <v>913</v>
      </c>
      <c r="C380" s="139" t="s">
        <v>5499</v>
      </c>
      <c r="D380" s="136">
        <v>51.4</v>
      </c>
      <c r="E380" s="137" t="s">
        <v>913</v>
      </c>
      <c r="F380" s="133">
        <f>D380*A380</f>
        <v>2381.36</v>
      </c>
    </row>
    <row r="381" spans="1:6" ht="20.25" customHeight="1">
      <c r="A381" s="144"/>
      <c r="B381" s="134"/>
      <c r="C381" s="140" t="s">
        <v>4163</v>
      </c>
      <c r="D381" s="136"/>
      <c r="E381" s="137"/>
      <c r="F381" s="133">
        <f t="shared" ref="F381:F418" si="18">D381*A381</f>
        <v>0</v>
      </c>
    </row>
    <row r="382" spans="1:6" ht="20.25" customHeight="1">
      <c r="A382" s="133"/>
      <c r="B382" s="134"/>
      <c r="C382" s="139" t="s">
        <v>4164</v>
      </c>
      <c r="D382" s="136"/>
      <c r="E382" s="137"/>
      <c r="F382" s="133">
        <f t="shared" si="18"/>
        <v>0</v>
      </c>
    </row>
    <row r="383" spans="1:6" ht="20.25" customHeight="1">
      <c r="A383" s="133"/>
      <c r="B383" s="134"/>
      <c r="C383" s="139" t="s">
        <v>5240</v>
      </c>
      <c r="D383" s="136"/>
      <c r="E383" s="137"/>
      <c r="F383" s="133">
        <f t="shared" si="18"/>
        <v>0</v>
      </c>
    </row>
    <row r="384" spans="1:6" ht="20.25" customHeight="1">
      <c r="A384" s="133"/>
      <c r="B384" s="134"/>
      <c r="C384" s="139" t="s">
        <v>4166</v>
      </c>
      <c r="D384" s="136"/>
      <c r="E384" s="137"/>
      <c r="F384" s="133">
        <f t="shared" si="18"/>
        <v>0</v>
      </c>
    </row>
    <row r="385" spans="1:6" ht="20.25" customHeight="1">
      <c r="A385" s="133"/>
      <c r="B385" s="134"/>
      <c r="C385" s="139" t="s">
        <v>5239</v>
      </c>
      <c r="D385" s="136"/>
      <c r="E385" s="137"/>
      <c r="F385" s="133">
        <f t="shared" si="18"/>
        <v>0</v>
      </c>
    </row>
    <row r="386" spans="1:6" ht="20.25" customHeight="1">
      <c r="A386" s="133"/>
      <c r="B386" s="134"/>
      <c r="C386" s="139" t="s">
        <v>5238</v>
      </c>
      <c r="D386" s="136"/>
      <c r="E386" s="137"/>
      <c r="F386" s="133">
        <f t="shared" si="18"/>
        <v>0</v>
      </c>
    </row>
    <row r="387" spans="1:6" ht="20.25" customHeight="1">
      <c r="A387" s="133"/>
      <c r="B387" s="134"/>
      <c r="C387" s="139" t="s">
        <v>5237</v>
      </c>
      <c r="D387" s="136"/>
      <c r="E387" s="137"/>
      <c r="F387" s="133">
        <f t="shared" si="18"/>
        <v>0</v>
      </c>
    </row>
    <row r="388" spans="1:6" ht="20.25" customHeight="1">
      <c r="A388" s="133"/>
      <c r="B388" s="134"/>
      <c r="C388" s="139" t="s">
        <v>5236</v>
      </c>
      <c r="D388" s="136"/>
      <c r="E388" s="137"/>
      <c r="F388" s="133">
        <f t="shared" si="18"/>
        <v>0</v>
      </c>
    </row>
    <row r="389" spans="1:6" ht="20.25" customHeight="1">
      <c r="A389" s="133">
        <v>29.4</v>
      </c>
      <c r="B389" s="134" t="s">
        <v>913</v>
      </c>
      <c r="C389" s="139" t="s">
        <v>5500</v>
      </c>
      <c r="D389" s="136">
        <f>D380</f>
        <v>51.4</v>
      </c>
      <c r="E389" s="137" t="s">
        <v>913</v>
      </c>
      <c r="F389" s="133">
        <f t="shared" si="18"/>
        <v>1511.16</v>
      </c>
    </row>
    <row r="390" spans="1:6" ht="20.25" customHeight="1">
      <c r="A390" s="133"/>
      <c r="B390" s="134"/>
      <c r="C390" s="140" t="s">
        <v>4172</v>
      </c>
      <c r="D390" s="136"/>
      <c r="E390" s="137"/>
      <c r="F390" s="133">
        <f t="shared" si="18"/>
        <v>0</v>
      </c>
    </row>
    <row r="391" spans="1:6" ht="20.25" customHeight="1">
      <c r="A391" s="133"/>
      <c r="B391" s="134"/>
      <c r="C391" s="139" t="s">
        <v>4173</v>
      </c>
      <c r="D391" s="136"/>
      <c r="E391" s="137"/>
      <c r="F391" s="133">
        <f t="shared" si="18"/>
        <v>0</v>
      </c>
    </row>
    <row r="392" spans="1:6" ht="20.25" customHeight="1">
      <c r="A392" s="133"/>
      <c r="B392" s="134"/>
      <c r="C392" s="139" t="s">
        <v>4174</v>
      </c>
      <c r="D392" s="136"/>
      <c r="E392" s="137"/>
      <c r="F392" s="133">
        <f t="shared" si="18"/>
        <v>0</v>
      </c>
    </row>
    <row r="393" spans="1:6" ht="20.25" customHeight="1">
      <c r="A393" s="133"/>
      <c r="B393" s="134"/>
      <c r="C393" s="139" t="s">
        <v>5501</v>
      </c>
      <c r="D393" s="136"/>
      <c r="E393" s="137"/>
      <c r="F393" s="133">
        <f t="shared" si="18"/>
        <v>0</v>
      </c>
    </row>
    <row r="394" spans="1:6" ht="20.25" customHeight="1">
      <c r="A394" s="133"/>
      <c r="B394" s="134"/>
      <c r="C394" s="139" t="s">
        <v>4176</v>
      </c>
      <c r="D394" s="136"/>
      <c r="E394" s="137"/>
      <c r="F394" s="133">
        <f t="shared" si="18"/>
        <v>0</v>
      </c>
    </row>
    <row r="395" spans="1:6" ht="20.25" customHeight="1">
      <c r="A395" s="133"/>
      <c r="B395" s="134"/>
      <c r="C395" s="139" t="s">
        <v>4177</v>
      </c>
      <c r="D395" s="136"/>
      <c r="E395" s="137"/>
      <c r="F395" s="133">
        <f t="shared" si="18"/>
        <v>0</v>
      </c>
    </row>
    <row r="396" spans="1:6" ht="20.25" customHeight="1">
      <c r="A396" s="133"/>
      <c r="B396" s="134"/>
      <c r="C396" s="139" t="s">
        <v>4178</v>
      </c>
      <c r="D396" s="136"/>
      <c r="E396" s="137"/>
      <c r="F396" s="133">
        <f t="shared" si="18"/>
        <v>0</v>
      </c>
    </row>
    <row r="397" spans="1:6" ht="20.25" customHeight="1">
      <c r="A397" s="133"/>
      <c r="B397" s="134"/>
      <c r="C397" s="139" t="s">
        <v>5502</v>
      </c>
      <c r="D397" s="136"/>
      <c r="E397" s="137"/>
      <c r="F397" s="133">
        <f t="shared" si="18"/>
        <v>0</v>
      </c>
    </row>
    <row r="398" spans="1:6" ht="20.25" customHeight="1">
      <c r="A398" s="133"/>
      <c r="B398" s="134"/>
      <c r="C398" s="139" t="s">
        <v>4180</v>
      </c>
      <c r="D398" s="136"/>
      <c r="E398" s="137"/>
      <c r="F398" s="133">
        <f t="shared" si="18"/>
        <v>0</v>
      </c>
    </row>
    <row r="399" spans="1:6" ht="20.25" customHeight="1">
      <c r="A399" s="133"/>
      <c r="B399" s="134"/>
      <c r="C399" s="139" t="s">
        <v>4181</v>
      </c>
      <c r="D399" s="136"/>
      <c r="E399" s="137"/>
      <c r="F399" s="133">
        <f t="shared" si="18"/>
        <v>0</v>
      </c>
    </row>
    <row r="400" spans="1:6" ht="20.25" customHeight="1">
      <c r="A400" s="133"/>
      <c r="B400" s="134"/>
      <c r="C400" s="139" t="s">
        <v>4182</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5503</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5504</v>
      </c>
      <c r="D404" s="136">
        <v>526</v>
      </c>
      <c r="E404" s="137" t="s">
        <v>913</v>
      </c>
      <c r="F404" s="133">
        <f t="shared" si="18"/>
        <v>5302.08</v>
      </c>
    </row>
    <row r="405" spans="1:6" ht="20.25" customHeight="1">
      <c r="A405" s="133">
        <f>A404</f>
        <v>10.08</v>
      </c>
      <c r="B405" s="134" t="s">
        <v>913</v>
      </c>
      <c r="C405" s="139" t="s">
        <v>5505</v>
      </c>
      <c r="D405" s="136">
        <v>10</v>
      </c>
      <c r="E405" s="137" t="s">
        <v>913</v>
      </c>
      <c r="F405" s="133">
        <f t="shared" si="18"/>
        <v>100.8</v>
      </c>
    </row>
    <row r="406" spans="1:6" ht="20.25" customHeight="1">
      <c r="A406" s="123">
        <v>438</v>
      </c>
      <c r="B406" s="124" t="s">
        <v>4191</v>
      </c>
      <c r="C406" s="128" t="s">
        <v>4192</v>
      </c>
      <c r="D406" s="123">
        <v>1</v>
      </c>
      <c r="E406" s="126" t="s">
        <v>4191</v>
      </c>
      <c r="F406" s="133">
        <f t="shared" si="18"/>
        <v>438</v>
      </c>
    </row>
    <row r="407" spans="1:6" ht="20.25" customHeight="1">
      <c r="A407" s="123">
        <v>2</v>
      </c>
      <c r="B407" s="124" t="s">
        <v>1394</v>
      </c>
      <c r="C407" s="128" t="s">
        <v>5583</v>
      </c>
      <c r="D407" s="123">
        <f>9355+893+404</f>
        <v>10652</v>
      </c>
      <c r="E407" s="126" t="str">
        <f>B407</f>
        <v>No</v>
      </c>
      <c r="F407" s="133">
        <f t="shared" si="18"/>
        <v>21304</v>
      </c>
    </row>
    <row r="408" spans="1:6" ht="20.25" customHeight="1">
      <c r="A408" s="123">
        <v>1</v>
      </c>
      <c r="B408" s="124" t="s">
        <v>1394</v>
      </c>
      <c r="C408" s="128" t="s">
        <v>5587</v>
      </c>
      <c r="D408" s="123">
        <v>9798</v>
      </c>
      <c r="E408" s="126" t="str">
        <f>B408</f>
        <v>No</v>
      </c>
      <c r="F408" s="133">
        <f t="shared" si="18"/>
        <v>9798</v>
      </c>
    </row>
    <row r="409" spans="1:6" ht="20.25" customHeight="1">
      <c r="A409" s="123">
        <v>1</v>
      </c>
      <c r="B409" s="124" t="s">
        <v>1394</v>
      </c>
      <c r="C409" s="128" t="s">
        <v>5588</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4195</v>
      </c>
      <c r="D411" s="123">
        <f>D288</f>
        <v>20</v>
      </c>
      <c r="E411" s="126" t="s">
        <v>1394</v>
      </c>
      <c r="F411" s="133">
        <f t="shared" si="18"/>
        <v>240</v>
      </c>
    </row>
    <row r="412" spans="1:6" ht="20.25" customHeight="1">
      <c r="A412" s="123">
        <v>3</v>
      </c>
      <c r="B412" s="124" t="s">
        <v>145</v>
      </c>
      <c r="C412" s="128" t="s">
        <v>4196</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5220</v>
      </c>
      <c r="C418" s="128" t="s">
        <v>5221</v>
      </c>
      <c r="D418" s="123">
        <v>10</v>
      </c>
      <c r="E418" s="126" t="s">
        <v>5222</v>
      </c>
      <c r="F418" s="133">
        <f t="shared" si="18"/>
        <v>720</v>
      </c>
    </row>
    <row r="419" spans="1:6" ht="20.25" customHeight="1">
      <c r="A419" s="133"/>
      <c r="B419" s="134"/>
      <c r="C419" s="139" t="s">
        <v>4203</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4204</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4205</v>
      </c>
      <c r="D423" s="126"/>
      <c r="E423" s="126"/>
      <c r="F423" s="123">
        <v>1000</v>
      </c>
    </row>
    <row r="424" spans="1:6" ht="20.25" customHeight="1">
      <c r="A424" s="123"/>
      <c r="B424" s="124"/>
      <c r="C424" s="128" t="s">
        <v>4206</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5446</v>
      </c>
      <c r="F426" s="159">
        <v>58902</v>
      </c>
    </row>
    <row r="427" spans="1:6" ht="20.25" customHeight="1">
      <c r="A427" s="133"/>
      <c r="B427" s="134"/>
      <c r="C427" s="139"/>
      <c r="D427" s="136"/>
      <c r="E427" s="137"/>
      <c r="F427" s="138"/>
    </row>
    <row r="428" spans="1:6" ht="20.25" customHeight="1">
      <c r="D428" s="1141"/>
      <c r="E428" s="1141"/>
      <c r="F428" s="1141"/>
    </row>
    <row r="430" spans="1:6" ht="20.25" customHeight="1">
      <c r="A430" s="133"/>
      <c r="B430" s="134"/>
      <c r="C430" s="135" t="s">
        <v>5592</v>
      </c>
      <c r="D430" s="136"/>
      <c r="E430" s="137"/>
      <c r="F430" s="138"/>
    </row>
    <row r="431" spans="1:6" ht="20.25" customHeight="1">
      <c r="A431" s="133"/>
      <c r="B431" s="134"/>
      <c r="C431" s="139" t="s">
        <v>5593</v>
      </c>
      <c r="D431" s="136"/>
      <c r="E431" s="137"/>
      <c r="F431" s="133"/>
    </row>
    <row r="432" spans="1:6" ht="20.25" customHeight="1">
      <c r="A432" s="133"/>
      <c r="B432" s="134"/>
      <c r="C432" s="140" t="s">
        <v>4155</v>
      </c>
      <c r="D432" s="136"/>
      <c r="E432" s="137"/>
      <c r="F432" s="133"/>
    </row>
    <row r="433" spans="1:6" ht="20.25" customHeight="1">
      <c r="A433" s="133"/>
      <c r="B433" s="134"/>
      <c r="C433" s="139" t="s">
        <v>5595</v>
      </c>
      <c r="D433" s="141">
        <f>4.5*6.42*2</f>
        <v>57.78</v>
      </c>
      <c r="E433" s="142"/>
      <c r="F433" s="143"/>
    </row>
    <row r="434" spans="1:6" ht="20.25" customHeight="1">
      <c r="A434" s="133"/>
      <c r="B434" s="134"/>
      <c r="C434" s="139" t="s">
        <v>5596</v>
      </c>
      <c r="D434" s="141">
        <f>4.5*1*2</f>
        <v>9</v>
      </c>
      <c r="E434" s="142">
        <f>5/12</f>
        <v>0.42</v>
      </c>
      <c r="F434" s="143"/>
    </row>
    <row r="435" spans="1:6" ht="20.25" customHeight="1">
      <c r="A435" s="133"/>
      <c r="B435" s="134"/>
      <c r="C435" s="139" t="s">
        <v>5597</v>
      </c>
      <c r="D435" s="141">
        <f>4.5*1*2</f>
        <v>9</v>
      </c>
      <c r="E435" s="142"/>
      <c r="F435" s="143"/>
    </row>
    <row r="436" spans="1:6" ht="20.25" customHeight="1">
      <c r="A436" s="133"/>
      <c r="B436" s="134"/>
      <c r="C436" s="139" t="s">
        <v>5598</v>
      </c>
      <c r="D436" s="141">
        <f>6.42*1*2</f>
        <v>12.84</v>
      </c>
      <c r="E436" s="142"/>
      <c r="F436" s="143"/>
    </row>
    <row r="437" spans="1:6" ht="20.25" customHeight="1">
      <c r="A437" s="133"/>
      <c r="B437" s="134"/>
      <c r="C437" s="139" t="s">
        <v>5599</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5600</v>
      </c>
      <c r="D439" s="141">
        <f>SUM(D437:D438)</f>
        <v>97.48</v>
      </c>
      <c r="E439" s="142"/>
      <c r="F439" s="143"/>
    </row>
    <row r="440" spans="1:6" ht="20.25" customHeight="1">
      <c r="A440" s="144"/>
      <c r="B440" s="134"/>
      <c r="C440" s="140" t="s">
        <v>5601</v>
      </c>
      <c r="D440" s="141">
        <f>D439*1.17</f>
        <v>114.05</v>
      </c>
      <c r="E440" s="142"/>
      <c r="F440" s="143"/>
    </row>
    <row r="441" spans="1:6" ht="20.25" customHeight="1">
      <c r="A441" s="133"/>
      <c r="B441" s="134"/>
      <c r="C441" s="139" t="s">
        <v>5602</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5499</v>
      </c>
      <c r="D443" s="136">
        <v>51.4</v>
      </c>
      <c r="E443" s="137" t="s">
        <v>913</v>
      </c>
      <c r="F443" s="133">
        <f>D443*A443</f>
        <v>4168.54</v>
      </c>
    </row>
    <row r="444" spans="1:6" ht="20.25" customHeight="1">
      <c r="A444" s="144"/>
      <c r="B444" s="134"/>
      <c r="C444" s="140" t="s">
        <v>4163</v>
      </c>
      <c r="D444" s="136"/>
      <c r="E444" s="137"/>
      <c r="F444" s="133">
        <f t="shared" ref="F444:F480" si="19">D444*A444</f>
        <v>0</v>
      </c>
    </row>
    <row r="445" spans="1:6" ht="20.25" customHeight="1">
      <c r="A445" s="133"/>
      <c r="B445" s="134"/>
      <c r="C445" s="139" t="s">
        <v>4164</v>
      </c>
      <c r="D445" s="136"/>
      <c r="E445" s="137"/>
      <c r="F445" s="133">
        <f t="shared" si="19"/>
        <v>0</v>
      </c>
    </row>
    <row r="446" spans="1:6" ht="20.25" customHeight="1">
      <c r="A446" s="133"/>
      <c r="B446" s="134"/>
      <c r="C446" s="139" t="s">
        <v>5240</v>
      </c>
      <c r="D446" s="136"/>
      <c r="E446" s="137"/>
      <c r="F446" s="133">
        <f t="shared" si="19"/>
        <v>0</v>
      </c>
    </row>
    <row r="447" spans="1:6" ht="20.25" customHeight="1">
      <c r="A447" s="133"/>
      <c r="B447" s="134"/>
      <c r="C447" s="139" t="s">
        <v>5198</v>
      </c>
      <c r="D447" s="136"/>
      <c r="E447" s="137"/>
      <c r="F447" s="133">
        <f t="shared" si="19"/>
        <v>0</v>
      </c>
    </row>
    <row r="448" spans="1:6" ht="20.25" customHeight="1">
      <c r="A448" s="133"/>
      <c r="B448" s="134"/>
      <c r="C448" s="139" t="s">
        <v>5239</v>
      </c>
      <c r="D448" s="136"/>
      <c r="E448" s="137"/>
      <c r="F448" s="133">
        <f t="shared" si="19"/>
        <v>0</v>
      </c>
    </row>
    <row r="449" spans="1:6" ht="20.25" customHeight="1">
      <c r="A449" s="133"/>
      <c r="B449" s="134"/>
      <c r="C449" s="139" t="s">
        <v>5603</v>
      </c>
      <c r="D449" s="136"/>
      <c r="E449" s="137"/>
      <c r="F449" s="133">
        <f t="shared" si="19"/>
        <v>0</v>
      </c>
    </row>
    <row r="450" spans="1:6" ht="20.25" customHeight="1">
      <c r="A450" s="133"/>
      <c r="B450" s="134"/>
      <c r="C450" s="139" t="s">
        <v>5604</v>
      </c>
      <c r="D450" s="136"/>
      <c r="E450" s="137"/>
      <c r="F450" s="133">
        <f t="shared" si="19"/>
        <v>0</v>
      </c>
    </row>
    <row r="451" spans="1:6" ht="20.25" customHeight="1">
      <c r="A451" s="133"/>
      <c r="B451" s="134"/>
      <c r="C451" s="139" t="s">
        <v>5605</v>
      </c>
      <c r="D451" s="136"/>
      <c r="E451" s="137"/>
      <c r="F451" s="133">
        <f t="shared" si="19"/>
        <v>0</v>
      </c>
    </row>
    <row r="452" spans="1:6" ht="20.25" customHeight="1">
      <c r="A452" s="133">
        <v>110</v>
      </c>
      <c r="B452" s="134" t="s">
        <v>913</v>
      </c>
      <c r="C452" s="139" t="s">
        <v>5500</v>
      </c>
      <c r="D452" s="136">
        <f>D443</f>
        <v>51.4</v>
      </c>
      <c r="E452" s="137" t="s">
        <v>913</v>
      </c>
      <c r="F452" s="133">
        <f t="shared" si="19"/>
        <v>5654</v>
      </c>
    </row>
    <row r="453" spans="1:6" ht="20.25" customHeight="1">
      <c r="A453" s="133"/>
      <c r="B453" s="134"/>
      <c r="C453" s="140" t="s">
        <v>4172</v>
      </c>
      <c r="D453" s="136"/>
      <c r="E453" s="137"/>
      <c r="F453" s="133">
        <f t="shared" si="19"/>
        <v>0</v>
      </c>
    </row>
    <row r="454" spans="1:6" ht="20.25" customHeight="1">
      <c r="A454" s="133"/>
      <c r="B454" s="134"/>
      <c r="C454" s="139" t="s">
        <v>4173</v>
      </c>
      <c r="D454" s="136"/>
      <c r="E454" s="137"/>
      <c r="F454" s="133">
        <f t="shared" si="19"/>
        <v>0</v>
      </c>
    </row>
    <row r="455" spans="1:6" ht="20.25" customHeight="1">
      <c r="A455" s="133"/>
      <c r="B455" s="134"/>
      <c r="C455" s="139" t="s">
        <v>4174</v>
      </c>
      <c r="D455" s="136"/>
      <c r="E455" s="137"/>
      <c r="F455" s="133">
        <f t="shared" si="19"/>
        <v>0</v>
      </c>
    </row>
    <row r="456" spans="1:6" ht="20.25" customHeight="1">
      <c r="A456" s="133"/>
      <c r="B456" s="134"/>
      <c r="C456" s="139" t="s">
        <v>5606</v>
      </c>
      <c r="D456" s="136"/>
      <c r="E456" s="137"/>
      <c r="F456" s="133">
        <f t="shared" si="19"/>
        <v>0</v>
      </c>
    </row>
    <row r="457" spans="1:6" ht="20.25" customHeight="1">
      <c r="A457" s="133"/>
      <c r="B457" s="134"/>
      <c r="C457" s="139" t="s">
        <v>5607</v>
      </c>
      <c r="D457" s="136"/>
      <c r="E457" s="137"/>
      <c r="F457" s="133">
        <f t="shared" si="19"/>
        <v>0</v>
      </c>
    </row>
    <row r="458" spans="1:6" ht="20.25" customHeight="1">
      <c r="A458" s="133"/>
      <c r="B458" s="134"/>
      <c r="C458" s="139" t="s">
        <v>5608</v>
      </c>
      <c r="D458" s="136"/>
      <c r="E458" s="137"/>
      <c r="F458" s="133">
        <f t="shared" si="19"/>
        <v>0</v>
      </c>
    </row>
    <row r="459" spans="1:6" ht="20.25" customHeight="1">
      <c r="A459" s="133"/>
      <c r="B459" s="134"/>
      <c r="C459" s="139" t="s">
        <v>5609</v>
      </c>
      <c r="D459" s="136"/>
      <c r="E459" s="137"/>
      <c r="F459" s="133">
        <f t="shared" si="19"/>
        <v>0</v>
      </c>
    </row>
    <row r="460" spans="1:6" ht="20.25" customHeight="1">
      <c r="A460" s="133"/>
      <c r="B460" s="134"/>
      <c r="C460" s="139" t="s">
        <v>5610</v>
      </c>
      <c r="D460" s="136"/>
      <c r="E460" s="137"/>
      <c r="F460" s="133">
        <f t="shared" si="19"/>
        <v>0</v>
      </c>
    </row>
    <row r="461" spans="1:6" ht="20.25" customHeight="1">
      <c r="A461" s="133"/>
      <c r="B461" s="134"/>
      <c r="C461" s="139" t="s">
        <v>5611</v>
      </c>
      <c r="D461" s="136"/>
      <c r="E461" s="137"/>
      <c r="F461" s="133">
        <f t="shared" si="19"/>
        <v>0</v>
      </c>
    </row>
    <row r="462" spans="1:6" ht="20.25" customHeight="1">
      <c r="A462" s="133"/>
      <c r="B462" s="134"/>
      <c r="C462" s="139" t="s">
        <v>5612</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5613</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5504</v>
      </c>
      <c r="D466" s="136">
        <v>526</v>
      </c>
      <c r="E466" s="137" t="s">
        <v>913</v>
      </c>
      <c r="F466" s="133">
        <f t="shared" si="19"/>
        <v>9757.2999999999993</v>
      </c>
    </row>
    <row r="467" spans="1:6" ht="20.25" customHeight="1">
      <c r="A467" s="133">
        <f>A466</f>
        <v>18.55</v>
      </c>
      <c r="B467" s="134" t="s">
        <v>913</v>
      </c>
      <c r="C467" s="139" t="s">
        <v>5505</v>
      </c>
      <c r="D467" s="136">
        <v>10</v>
      </c>
      <c r="E467" s="137" t="s">
        <v>913</v>
      </c>
      <c r="F467" s="133">
        <f t="shared" si="19"/>
        <v>185.5</v>
      </c>
    </row>
    <row r="468" spans="1:6" ht="20.25" customHeight="1">
      <c r="A468" s="123">
        <v>440</v>
      </c>
      <c r="B468" s="124" t="s">
        <v>4191</v>
      </c>
      <c r="C468" s="128" t="s">
        <v>4192</v>
      </c>
      <c r="D468" s="123">
        <v>1</v>
      </c>
      <c r="E468" s="126" t="s">
        <v>4191</v>
      </c>
      <c r="F468" s="133">
        <f t="shared" si="19"/>
        <v>440</v>
      </c>
    </row>
    <row r="469" spans="1:6" ht="20.25" customHeight="1">
      <c r="A469" s="123">
        <v>1</v>
      </c>
      <c r="B469" s="124" t="s">
        <v>1394</v>
      </c>
      <c r="C469" s="128" t="s">
        <v>5594</v>
      </c>
      <c r="D469" s="123">
        <v>17850</v>
      </c>
      <c r="E469" s="126" t="str">
        <f>B469</f>
        <v>No</v>
      </c>
      <c r="F469" s="133">
        <f t="shared" si="19"/>
        <v>17850</v>
      </c>
    </row>
    <row r="470" spans="1:6" ht="20.25" customHeight="1">
      <c r="A470" s="123">
        <v>2</v>
      </c>
      <c r="B470" s="124" t="s">
        <v>1394</v>
      </c>
      <c r="C470" s="128" t="s">
        <v>5587</v>
      </c>
      <c r="D470" s="123">
        <v>9798</v>
      </c>
      <c r="E470" s="126" t="str">
        <f>B470</f>
        <v>No</v>
      </c>
      <c r="F470" s="133">
        <f t="shared" si="19"/>
        <v>19596</v>
      </c>
    </row>
    <row r="471" spans="1:6" ht="20.25" customHeight="1">
      <c r="A471" s="123">
        <v>1</v>
      </c>
      <c r="B471" s="124" t="s">
        <v>1394</v>
      </c>
      <c r="C471" s="128" t="s">
        <v>5588</v>
      </c>
      <c r="D471" s="123">
        <f>6195+235</f>
        <v>6430</v>
      </c>
      <c r="E471" s="126" t="str">
        <f>B471</f>
        <v>No</v>
      </c>
      <c r="F471" s="133">
        <f t="shared" si="19"/>
        <v>6430</v>
      </c>
    </row>
    <row r="472" spans="1:6" ht="20.25" customHeight="1">
      <c r="A472" s="132">
        <v>1.1499999999999999</v>
      </c>
      <c r="B472" s="124" t="s">
        <v>2283</v>
      </c>
      <c r="C472" s="128" t="s">
        <v>5577</v>
      </c>
      <c r="D472" s="126">
        <v>1260</v>
      </c>
      <c r="E472" s="126" t="s">
        <v>2283</v>
      </c>
      <c r="F472" s="133">
        <f t="shared" si="19"/>
        <v>1449</v>
      </c>
    </row>
    <row r="473" spans="1:6" ht="20.25" customHeight="1">
      <c r="A473" s="123">
        <v>12</v>
      </c>
      <c r="B473" s="124" t="s">
        <v>1394</v>
      </c>
      <c r="C473" s="128" t="s">
        <v>4195</v>
      </c>
      <c r="D473" s="123">
        <v>20</v>
      </c>
      <c r="E473" s="126" t="s">
        <v>1394</v>
      </c>
      <c r="F473" s="133">
        <f t="shared" si="19"/>
        <v>240</v>
      </c>
    </row>
    <row r="474" spans="1:6" ht="20.25" customHeight="1">
      <c r="A474" s="123">
        <v>3</v>
      </c>
      <c r="B474" s="124" t="s">
        <v>145</v>
      </c>
      <c r="C474" s="128" t="s">
        <v>4196</v>
      </c>
      <c r="D474" s="123">
        <v>280</v>
      </c>
      <c r="E474" s="126" t="s">
        <v>145</v>
      </c>
      <c r="F474" s="133">
        <f t="shared" si="19"/>
        <v>840</v>
      </c>
    </row>
    <row r="475" spans="1:6" ht="20.25" customHeight="1">
      <c r="A475" s="123">
        <v>3</v>
      </c>
      <c r="B475" s="124" t="s">
        <v>1394</v>
      </c>
      <c r="C475" s="128" t="s">
        <v>5589</v>
      </c>
      <c r="D475" s="123">
        <v>47.6</v>
      </c>
      <c r="E475" s="126" t="str">
        <f>B475</f>
        <v>No</v>
      </c>
      <c r="F475" s="133">
        <f t="shared" si="19"/>
        <v>142.80000000000001</v>
      </c>
    </row>
    <row r="476" spans="1:6" ht="20.25" customHeight="1">
      <c r="A476" s="123">
        <v>5</v>
      </c>
      <c r="B476" s="124" t="s">
        <v>826</v>
      </c>
      <c r="C476" s="128" t="s">
        <v>5590</v>
      </c>
      <c r="D476" s="123">
        <v>9.8000000000000007</v>
      </c>
      <c r="E476" s="126" t="str">
        <f>B476</f>
        <v>Rmt</v>
      </c>
      <c r="F476" s="133">
        <f t="shared" si="19"/>
        <v>49</v>
      </c>
    </row>
    <row r="477" spans="1:6" ht="20.25" customHeight="1">
      <c r="A477" s="123">
        <v>81.099999999999994</v>
      </c>
      <c r="B477" s="124" t="s">
        <v>1645</v>
      </c>
      <c r="C477" s="128" t="s">
        <v>5217</v>
      </c>
      <c r="D477" s="123">
        <v>47.8</v>
      </c>
      <c r="E477" s="126" t="str">
        <f>B477</f>
        <v>Kg</v>
      </c>
      <c r="F477" s="133">
        <f t="shared" si="19"/>
        <v>3876.58</v>
      </c>
    </row>
    <row r="478" spans="1:6" ht="20.25" customHeight="1">
      <c r="A478" s="123">
        <v>110</v>
      </c>
      <c r="B478" s="124" t="s">
        <v>1645</v>
      </c>
      <c r="C478" s="128" t="s">
        <v>5218</v>
      </c>
      <c r="D478" s="123">
        <f>D477</f>
        <v>47.8</v>
      </c>
      <c r="E478" s="126" t="str">
        <f>B478</f>
        <v>Kg</v>
      </c>
      <c r="F478" s="133">
        <f t="shared" si="19"/>
        <v>5258</v>
      </c>
    </row>
    <row r="479" spans="1:6" ht="20.25" customHeight="1">
      <c r="A479" s="123">
        <v>5</v>
      </c>
      <c r="B479" s="124" t="s">
        <v>1432</v>
      </c>
      <c r="C479" s="128" t="s">
        <v>5576</v>
      </c>
      <c r="D479" s="123">
        <v>456</v>
      </c>
      <c r="E479" s="129" t="s">
        <v>1714</v>
      </c>
      <c r="F479" s="133">
        <f t="shared" si="19"/>
        <v>2280</v>
      </c>
    </row>
    <row r="480" spans="1:6" ht="20.25" customHeight="1">
      <c r="A480" s="123">
        <v>126</v>
      </c>
      <c r="B480" s="124" t="s">
        <v>5220</v>
      </c>
      <c r="C480" s="128" t="s">
        <v>5221</v>
      </c>
      <c r="D480" s="123">
        <v>10</v>
      </c>
      <c r="E480" s="126" t="s">
        <v>5222</v>
      </c>
      <c r="F480" s="133">
        <f t="shared" si="19"/>
        <v>1260</v>
      </c>
    </row>
    <row r="481" spans="1:6" ht="20.25" customHeight="1">
      <c r="A481" s="133"/>
      <c r="B481" s="134"/>
      <c r="C481" s="139" t="s">
        <v>4203</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4204</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4205</v>
      </c>
      <c r="D485" s="126"/>
      <c r="E485" s="126"/>
      <c r="F485" s="123">
        <v>1000</v>
      </c>
    </row>
    <row r="486" spans="1:6" ht="20.25" customHeight="1">
      <c r="A486" s="123"/>
      <c r="B486" s="124"/>
      <c r="C486" s="128" t="s">
        <v>4206</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5446</v>
      </c>
      <c r="F488" s="159">
        <v>83280</v>
      </c>
    </row>
    <row r="490" spans="1:6" ht="20.25" customHeight="1">
      <c r="A490" s="182"/>
      <c r="B490" s="182"/>
      <c r="C490" s="146" t="s">
        <v>5672</v>
      </c>
      <c r="D490" s="183"/>
      <c r="E490" s="182"/>
      <c r="F490" s="182"/>
    </row>
    <row r="491" spans="1:6" ht="20.25" customHeight="1">
      <c r="A491" s="182"/>
      <c r="B491" s="182"/>
      <c r="C491" s="160" t="s">
        <v>5673</v>
      </c>
      <c r="D491" s="183"/>
      <c r="E491" s="182"/>
      <c r="F491" s="182"/>
    </row>
    <row r="492" spans="1:6" ht="20.25" customHeight="1">
      <c r="A492" s="182"/>
      <c r="B492" s="182"/>
      <c r="C492" s="161" t="s">
        <v>5674</v>
      </c>
      <c r="D492" s="183"/>
      <c r="E492" s="182"/>
      <c r="F492" s="182"/>
    </row>
    <row r="493" spans="1:6" ht="20.25" customHeight="1">
      <c r="A493" s="182"/>
      <c r="B493" s="182"/>
      <c r="C493" s="182"/>
      <c r="D493" s="183"/>
      <c r="E493" s="182"/>
      <c r="F493" s="182"/>
    </row>
    <row r="494" spans="1:6" ht="20.25" customHeight="1">
      <c r="A494" s="126"/>
      <c r="B494" s="129"/>
      <c r="C494" s="125" t="s">
        <v>5645</v>
      </c>
      <c r="D494" s="123"/>
      <c r="E494" s="126"/>
      <c r="F494" s="123"/>
    </row>
    <row r="495" spans="1:6" ht="20.25" customHeight="1">
      <c r="A495" s="126"/>
      <c r="B495" s="129"/>
      <c r="C495" s="127" t="s">
        <v>5646</v>
      </c>
      <c r="D495" s="123"/>
      <c r="E495" s="126"/>
      <c r="F495" s="123"/>
    </row>
    <row r="496" spans="1:6" ht="20.25" customHeight="1">
      <c r="A496" s="126"/>
      <c r="B496" s="129"/>
      <c r="C496" s="127" t="s">
        <v>4155</v>
      </c>
      <c r="D496" s="123"/>
      <c r="E496" s="126"/>
      <c r="F496" s="123"/>
    </row>
    <row r="497" spans="1:6" ht="20.25" customHeight="1">
      <c r="A497" s="126"/>
      <c r="B497" s="129"/>
      <c r="C497" s="128" t="s">
        <v>5647</v>
      </c>
      <c r="D497" s="123"/>
      <c r="E497" s="126"/>
      <c r="F497" s="123"/>
    </row>
    <row r="498" spans="1:6" ht="20.25" customHeight="1">
      <c r="A498" s="126"/>
      <c r="B498" s="129"/>
      <c r="C498" s="128" t="s">
        <v>5648</v>
      </c>
      <c r="D498" s="123"/>
      <c r="E498" s="126"/>
      <c r="F498" s="123"/>
    </row>
    <row r="499" spans="1:6" ht="20.25" customHeight="1">
      <c r="A499" s="126"/>
      <c r="B499" s="129"/>
      <c r="C499" s="128" t="s">
        <v>5649</v>
      </c>
      <c r="D499" s="123"/>
      <c r="E499" s="126"/>
      <c r="F499" s="123"/>
    </row>
    <row r="500" spans="1:6" ht="20.25" customHeight="1">
      <c r="A500" s="126"/>
      <c r="B500" s="129"/>
      <c r="C500" s="128" t="s">
        <v>5650</v>
      </c>
      <c r="D500" s="123"/>
      <c r="E500" s="126"/>
      <c r="F500" s="123"/>
    </row>
    <row r="501" spans="1:6" ht="20.25" customHeight="1">
      <c r="A501" s="126"/>
      <c r="B501" s="129"/>
      <c r="C501" s="128" t="s">
        <v>5651</v>
      </c>
      <c r="D501" s="123"/>
      <c r="E501" s="126"/>
      <c r="F501" s="123"/>
    </row>
    <row r="502" spans="1:6" ht="20.25" customHeight="1">
      <c r="A502" s="126"/>
      <c r="B502" s="129"/>
      <c r="C502" s="127" t="s">
        <v>5652</v>
      </c>
      <c r="D502" s="173"/>
      <c r="E502" s="184"/>
      <c r="F502" s="173"/>
    </row>
    <row r="503" spans="1:6" ht="20.25" customHeight="1">
      <c r="A503" s="126"/>
      <c r="B503" s="129"/>
      <c r="C503" s="128" t="s">
        <v>5653</v>
      </c>
      <c r="D503" s="173"/>
      <c r="E503" s="184"/>
      <c r="F503" s="173"/>
    </row>
    <row r="504" spans="1:6" ht="20.25" customHeight="1">
      <c r="A504" s="126"/>
      <c r="B504" s="129"/>
      <c r="C504" s="127" t="s">
        <v>5654</v>
      </c>
      <c r="D504" s="173"/>
      <c r="E504" s="184"/>
      <c r="F504" s="173"/>
    </row>
    <row r="505" spans="1:6" ht="20.25" customHeight="1">
      <c r="A505" s="126"/>
      <c r="B505" s="129"/>
      <c r="C505" s="128" t="s">
        <v>5655</v>
      </c>
      <c r="D505" s="173"/>
      <c r="E505" s="184"/>
      <c r="F505" s="173"/>
    </row>
    <row r="506" spans="1:6" ht="20.25" customHeight="1">
      <c r="A506" s="126">
        <v>127.73</v>
      </c>
      <c r="B506" s="129" t="s">
        <v>913</v>
      </c>
      <c r="C506" s="128" t="s">
        <v>5499</v>
      </c>
      <c r="D506" s="123">
        <f>D16</f>
        <v>57.6</v>
      </c>
      <c r="E506" s="126" t="s">
        <v>913</v>
      </c>
      <c r="F506" s="123">
        <f>D506*A506</f>
        <v>7357.25</v>
      </c>
    </row>
    <row r="507" spans="1:6" ht="20.25" customHeight="1">
      <c r="A507" s="126"/>
      <c r="B507" s="129"/>
      <c r="C507" s="127" t="s">
        <v>5447</v>
      </c>
      <c r="D507" s="123"/>
      <c r="E507" s="126"/>
      <c r="F507" s="123"/>
    </row>
    <row r="508" spans="1:6" ht="20.25" customHeight="1">
      <c r="A508" s="126"/>
      <c r="B508" s="129"/>
      <c r="C508" s="128" t="s">
        <v>4164</v>
      </c>
      <c r="D508" s="123"/>
      <c r="E508" s="126"/>
      <c r="F508" s="123"/>
    </row>
    <row r="509" spans="1:6" ht="20.25" customHeight="1">
      <c r="A509" s="126"/>
      <c r="B509" s="129"/>
      <c r="C509" s="128" t="s">
        <v>5240</v>
      </c>
      <c r="D509" s="123"/>
      <c r="E509" s="126"/>
      <c r="F509" s="123"/>
    </row>
    <row r="510" spans="1:6" ht="20.25" customHeight="1">
      <c r="A510" s="126"/>
      <c r="B510" s="129"/>
      <c r="C510" s="128" t="s">
        <v>5198</v>
      </c>
      <c r="D510" s="123"/>
      <c r="E510" s="126"/>
      <c r="F510" s="123"/>
    </row>
    <row r="511" spans="1:6" ht="20.25" customHeight="1">
      <c r="A511" s="126"/>
      <c r="B511" s="129"/>
      <c r="C511" s="128" t="s">
        <v>5239</v>
      </c>
      <c r="D511" s="123"/>
      <c r="E511" s="126"/>
      <c r="F511" s="123"/>
    </row>
    <row r="512" spans="1:6" ht="20.25" customHeight="1">
      <c r="A512" s="126"/>
      <c r="B512" s="129"/>
      <c r="C512" s="128" t="s">
        <v>5656</v>
      </c>
      <c r="D512" s="123"/>
      <c r="E512" s="126"/>
      <c r="F512" s="123"/>
    </row>
    <row r="513" spans="1:6" ht="20.25" customHeight="1">
      <c r="A513" s="126"/>
      <c r="B513" s="129"/>
      <c r="C513" s="128" t="s">
        <v>5657</v>
      </c>
      <c r="D513" s="123"/>
      <c r="E513" s="126"/>
      <c r="F513" s="123"/>
    </row>
    <row r="514" spans="1:6" ht="20.25" customHeight="1">
      <c r="A514" s="126"/>
      <c r="B514" s="129"/>
      <c r="C514" s="128" t="s">
        <v>5658</v>
      </c>
      <c r="D514" s="123"/>
      <c r="E514" s="126"/>
      <c r="F514" s="123"/>
    </row>
    <row r="515" spans="1:6" ht="20.25" customHeight="1">
      <c r="A515" s="126">
        <v>41.1</v>
      </c>
      <c r="B515" s="129" t="s">
        <v>913</v>
      </c>
      <c r="C515" s="128" t="s">
        <v>5659</v>
      </c>
      <c r="D515" s="123">
        <f>D26</f>
        <v>57.6</v>
      </c>
      <c r="E515" s="126" t="s">
        <v>913</v>
      </c>
      <c r="F515" s="123">
        <f>D515*A515</f>
        <v>2367.36</v>
      </c>
    </row>
    <row r="516" spans="1:6" ht="20.25" customHeight="1">
      <c r="A516" s="126"/>
      <c r="B516" s="129"/>
      <c r="C516" s="127" t="s">
        <v>4172</v>
      </c>
      <c r="D516" s="123"/>
      <c r="E516" s="126"/>
      <c r="F516" s="123"/>
    </row>
    <row r="517" spans="1:6" ht="20.25" customHeight="1">
      <c r="A517" s="126"/>
      <c r="B517" s="129"/>
      <c r="C517" s="128" t="s">
        <v>5660</v>
      </c>
      <c r="D517" s="123"/>
      <c r="E517" s="126"/>
      <c r="F517" s="123"/>
    </row>
    <row r="518" spans="1:6" ht="20.25" customHeight="1">
      <c r="A518" s="126"/>
      <c r="B518" s="129"/>
      <c r="C518" s="128" t="s">
        <v>5661</v>
      </c>
      <c r="D518" s="123"/>
      <c r="E518" s="126"/>
      <c r="F518" s="123"/>
    </row>
    <row r="519" spans="1:6" ht="20.25" customHeight="1">
      <c r="A519" s="126"/>
      <c r="B519" s="129"/>
      <c r="C519" s="128" t="s">
        <v>5662</v>
      </c>
      <c r="D519" s="123"/>
      <c r="E519" s="126"/>
      <c r="F519" s="123"/>
    </row>
    <row r="520" spans="1:6" ht="20.25" customHeight="1">
      <c r="A520" s="126"/>
      <c r="B520" s="129"/>
      <c r="C520" s="128" t="s">
        <v>5663</v>
      </c>
      <c r="D520" s="123"/>
      <c r="E520" s="126"/>
      <c r="F520" s="123"/>
    </row>
    <row r="521" spans="1:6" ht="20.25" customHeight="1">
      <c r="A521" s="126"/>
      <c r="B521" s="129"/>
      <c r="C521" s="128" t="s">
        <v>5448</v>
      </c>
      <c r="D521" s="123"/>
      <c r="E521" s="126"/>
      <c r="F521" s="123"/>
    </row>
    <row r="522" spans="1:6" ht="20.25" customHeight="1">
      <c r="A522" s="126"/>
      <c r="B522" s="129"/>
      <c r="C522" s="128" t="s">
        <v>5664</v>
      </c>
      <c r="D522" s="123"/>
      <c r="E522" s="126"/>
      <c r="F522" s="123"/>
    </row>
    <row r="523" spans="1:6" ht="20.25" customHeight="1">
      <c r="A523" s="126"/>
      <c r="B523" s="129"/>
      <c r="C523" s="128" t="s">
        <v>5665</v>
      </c>
      <c r="D523" s="123"/>
      <c r="E523" s="126"/>
      <c r="F523" s="123"/>
    </row>
    <row r="524" spans="1:6" ht="20.25" customHeight="1">
      <c r="A524" s="126"/>
      <c r="B524" s="129"/>
      <c r="C524" s="128" t="s">
        <v>5666</v>
      </c>
      <c r="D524" s="123"/>
      <c r="E524" s="126"/>
      <c r="F524" s="123"/>
    </row>
    <row r="525" spans="1:6" ht="20.25" customHeight="1">
      <c r="A525" s="126"/>
      <c r="B525" s="129"/>
      <c r="C525" s="128" t="s">
        <v>5667</v>
      </c>
      <c r="D525" s="123"/>
      <c r="E525" s="126"/>
      <c r="F525" s="123"/>
    </row>
    <row r="526" spans="1:6" ht="20.25" customHeight="1">
      <c r="A526" s="126"/>
      <c r="B526" s="129"/>
      <c r="C526" s="128" t="s">
        <v>5668</v>
      </c>
      <c r="D526" s="123"/>
      <c r="E526" s="126"/>
      <c r="F526" s="123"/>
    </row>
    <row r="527" spans="1:6" ht="20.25" customHeight="1">
      <c r="A527" s="126"/>
      <c r="B527" s="129"/>
      <c r="C527" s="128" t="s">
        <v>5669</v>
      </c>
      <c r="D527" s="123"/>
      <c r="E527" s="126"/>
      <c r="F527" s="123"/>
    </row>
    <row r="528" spans="1:6" ht="20.25" customHeight="1">
      <c r="A528" s="126">
        <v>12.76</v>
      </c>
      <c r="B528" s="129" t="s">
        <v>913</v>
      </c>
      <c r="C528" s="128" t="s">
        <v>5449</v>
      </c>
      <c r="D528" s="123">
        <f>D41</f>
        <v>562</v>
      </c>
      <c r="E528" s="126" t="s">
        <v>913</v>
      </c>
      <c r="F528" s="123">
        <f>SUM(A528*D528)</f>
        <v>7171.12</v>
      </c>
    </row>
    <row r="529" spans="1:6" ht="20.25" customHeight="1">
      <c r="A529" s="126">
        <v>12.76</v>
      </c>
      <c r="B529" s="129" t="s">
        <v>913</v>
      </c>
      <c r="C529" s="128" t="s">
        <v>4184</v>
      </c>
      <c r="D529" s="123">
        <f>D42</f>
        <v>10</v>
      </c>
      <c r="E529" s="126" t="s">
        <v>913</v>
      </c>
      <c r="F529" s="123">
        <f>SUM(A529*D529)</f>
        <v>127.6</v>
      </c>
    </row>
    <row r="530" spans="1:6" ht="20.25" customHeight="1">
      <c r="A530" s="126">
        <v>755</v>
      </c>
      <c r="B530" s="129" t="s">
        <v>154</v>
      </c>
      <c r="C530" s="128" t="s">
        <v>5450</v>
      </c>
      <c r="D530" s="123">
        <f>D60</f>
        <v>1</v>
      </c>
      <c r="E530" s="126" t="s">
        <v>4191</v>
      </c>
      <c r="F530" s="123">
        <f>SUM(A530*D530)</f>
        <v>755</v>
      </c>
    </row>
    <row r="531" spans="1:6" ht="20.25" customHeight="1">
      <c r="A531" s="126">
        <v>2</v>
      </c>
      <c r="B531" s="129" t="s">
        <v>1030</v>
      </c>
      <c r="C531" s="128" t="s">
        <v>5670</v>
      </c>
      <c r="D531" s="123">
        <f>D407</f>
        <v>10652</v>
      </c>
      <c r="E531" s="126" t="s">
        <v>1714</v>
      </c>
      <c r="F531" s="123">
        <f>SUM(A531*D531)</f>
        <v>21304</v>
      </c>
    </row>
    <row r="532" spans="1:6" ht="20.25" customHeight="1">
      <c r="A532" s="126">
        <v>10</v>
      </c>
      <c r="B532" s="129" t="s">
        <v>1030</v>
      </c>
      <c r="C532" s="128" t="s">
        <v>5959</v>
      </c>
      <c r="D532" s="123">
        <f>6255+893+237</f>
        <v>7385</v>
      </c>
      <c r="E532" s="126" t="s">
        <v>1714</v>
      </c>
      <c r="F532" s="123">
        <f>SUM(A532*D532)</f>
        <v>73850</v>
      </c>
    </row>
    <row r="533" spans="1:6" ht="20.25" customHeight="1">
      <c r="A533" s="126"/>
      <c r="B533" s="129"/>
      <c r="C533" s="128" t="s">
        <v>5538</v>
      </c>
      <c r="D533" s="123"/>
      <c r="E533" s="126"/>
      <c r="F533" s="123"/>
    </row>
    <row r="534" spans="1:6" ht="20.25" customHeight="1">
      <c r="A534" s="126"/>
      <c r="B534" s="129"/>
      <c r="C534" s="128" t="s">
        <v>5676</v>
      </c>
      <c r="D534" s="123"/>
      <c r="E534" s="126"/>
      <c r="F534" s="123"/>
    </row>
    <row r="535" spans="1:6" ht="20.25" customHeight="1">
      <c r="A535" s="126">
        <v>1.1499999999999999</v>
      </c>
      <c r="B535" s="129" t="s">
        <v>5544</v>
      </c>
      <c r="C535" s="128" t="str">
        <f>C410</f>
        <v>Cost of hylum sheet 6mm [SR 2020-21 / P.129]</v>
      </c>
      <c r="D535" s="126">
        <f>D410</f>
        <v>1322</v>
      </c>
      <c r="E535" s="129" t="s">
        <v>5544</v>
      </c>
      <c r="F535" s="123">
        <f t="shared" ref="F535:F543" si="20">SUM(A535*D535)</f>
        <v>1520.3</v>
      </c>
    </row>
    <row r="536" spans="1:6" ht="20.25" customHeight="1">
      <c r="A536" s="126">
        <v>12</v>
      </c>
      <c r="B536" s="129" t="s">
        <v>1432</v>
      </c>
      <c r="C536" s="128" t="s">
        <v>4195</v>
      </c>
      <c r="D536" s="126">
        <f t="shared" ref="D536:D543" si="21">D411</f>
        <v>20</v>
      </c>
      <c r="E536" s="126" t="s">
        <v>1714</v>
      </c>
      <c r="F536" s="123">
        <f t="shared" si="20"/>
        <v>240</v>
      </c>
    </row>
    <row r="537" spans="1:6" ht="20.25" customHeight="1">
      <c r="A537" s="126">
        <v>3</v>
      </c>
      <c r="B537" s="129" t="s">
        <v>1432</v>
      </c>
      <c r="C537" s="128" t="s">
        <v>4196</v>
      </c>
      <c r="D537" s="126">
        <f t="shared" si="21"/>
        <v>280</v>
      </c>
      <c r="E537" s="126" t="s">
        <v>1714</v>
      </c>
      <c r="F537" s="123">
        <f t="shared" si="20"/>
        <v>840</v>
      </c>
    </row>
    <row r="538" spans="1:6" ht="20.25" customHeight="1">
      <c r="A538" s="126">
        <v>3</v>
      </c>
      <c r="B538" s="129" t="s">
        <v>1432</v>
      </c>
      <c r="C538" s="128" t="s">
        <v>5452</v>
      </c>
      <c r="D538" s="126">
        <f t="shared" si="21"/>
        <v>48.05</v>
      </c>
      <c r="E538" s="126" t="s">
        <v>1714</v>
      </c>
      <c r="F538" s="123">
        <f t="shared" si="20"/>
        <v>144.15</v>
      </c>
    </row>
    <row r="539" spans="1:6" ht="20.25" customHeight="1">
      <c r="A539" s="126">
        <v>5</v>
      </c>
      <c r="B539" s="129" t="s">
        <v>3440</v>
      </c>
      <c r="C539" s="128" t="s">
        <v>5575</v>
      </c>
      <c r="D539" s="126">
        <f t="shared" si="21"/>
        <v>10.45</v>
      </c>
      <c r="E539" s="129" t="s">
        <v>3440</v>
      </c>
      <c r="F539" s="123">
        <f t="shared" si="20"/>
        <v>52.25</v>
      </c>
    </row>
    <row r="540" spans="1:6" ht="20.25" customHeight="1">
      <c r="A540" s="126">
        <v>127.73</v>
      </c>
      <c r="B540" s="129" t="s">
        <v>913</v>
      </c>
      <c r="C540" s="128" t="s">
        <v>5453</v>
      </c>
      <c r="D540" s="126">
        <f t="shared" si="21"/>
        <v>52.5</v>
      </c>
      <c r="E540" s="129" t="s">
        <v>913</v>
      </c>
      <c r="F540" s="123">
        <f t="shared" si="20"/>
        <v>6705.83</v>
      </c>
    </row>
    <row r="541" spans="1:6" ht="20.25" customHeight="1">
      <c r="A541" s="126">
        <v>41.1</v>
      </c>
      <c r="B541" s="129" t="s">
        <v>913</v>
      </c>
      <c r="C541" s="128" t="s">
        <v>5454</v>
      </c>
      <c r="D541" s="126">
        <f t="shared" si="21"/>
        <v>52.5</v>
      </c>
      <c r="E541" s="129" t="s">
        <v>913</v>
      </c>
      <c r="F541" s="123">
        <f t="shared" si="20"/>
        <v>2157.75</v>
      </c>
    </row>
    <row r="542" spans="1:6" ht="20.25" customHeight="1">
      <c r="A542" s="126">
        <v>12</v>
      </c>
      <c r="B542" s="129" t="s">
        <v>1432</v>
      </c>
      <c r="C542" s="128" t="s">
        <v>5671</v>
      </c>
      <c r="D542" s="126">
        <f t="shared" si="21"/>
        <v>501.25</v>
      </c>
      <c r="E542" s="129" t="s">
        <v>1714</v>
      </c>
      <c r="F542" s="123">
        <f t="shared" si="20"/>
        <v>6015</v>
      </c>
    </row>
    <row r="543" spans="1:6" ht="20.25" customHeight="1">
      <c r="A543" s="126">
        <v>198.5</v>
      </c>
      <c r="B543" s="129" t="s">
        <v>4198</v>
      </c>
      <c r="C543" s="128" t="s">
        <v>4199</v>
      </c>
      <c r="D543" s="126">
        <f t="shared" si="21"/>
        <v>10</v>
      </c>
      <c r="E543" s="129" t="s">
        <v>4200</v>
      </c>
      <c r="F543" s="123">
        <f t="shared" si="20"/>
        <v>1985</v>
      </c>
    </row>
    <row r="544" spans="1:6" ht="20.25" customHeight="1">
      <c r="A544" s="126"/>
      <c r="B544" s="129"/>
      <c r="C544" s="128" t="s">
        <v>4203</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4204</v>
      </c>
      <c r="D546" s="123"/>
      <c r="E546" s="126"/>
      <c r="F546" s="123">
        <f>F545*2%</f>
        <v>2655.85</v>
      </c>
    </row>
    <row r="547" spans="1:6" ht="20.25" customHeight="1">
      <c r="A547" s="126"/>
      <c r="B547" s="129"/>
      <c r="C547" s="128" t="s">
        <v>4205</v>
      </c>
      <c r="D547" s="123"/>
      <c r="E547" s="126"/>
      <c r="F547" s="123">
        <v>1000</v>
      </c>
    </row>
    <row r="548" spans="1:6" ht="20.25" customHeight="1">
      <c r="A548" s="126"/>
      <c r="B548" s="129"/>
      <c r="C548" s="128" t="s">
        <v>4206</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5446</v>
      </c>
      <c r="F550" s="159">
        <v>138500</v>
      </c>
    </row>
    <row r="559" spans="1:6" ht="20.25" customHeight="1">
      <c r="A559" s="185"/>
      <c r="B559" s="185"/>
      <c r="C559" s="148" t="s">
        <v>5680</v>
      </c>
      <c r="D559" s="186"/>
      <c r="E559" s="185"/>
      <c r="F559" s="185"/>
    </row>
    <row r="560" spans="1:6" ht="20.25" customHeight="1">
      <c r="A560" s="185"/>
      <c r="B560" s="185"/>
      <c r="C560" s="154" t="s">
        <v>5681</v>
      </c>
      <c r="D560" s="186"/>
      <c r="E560" s="185"/>
      <c r="F560" s="185"/>
    </row>
    <row r="561" spans="1:6" ht="20.25" customHeight="1">
      <c r="A561" s="149"/>
      <c r="B561" s="150"/>
      <c r="C561" s="151"/>
      <c r="D561" s="152"/>
      <c r="E561" s="149"/>
      <c r="F561" s="152"/>
    </row>
    <row r="562" spans="1:6" ht="20.25" customHeight="1">
      <c r="A562" s="149"/>
      <c r="B562" s="150"/>
      <c r="C562" s="153" t="s">
        <v>5646</v>
      </c>
      <c r="D562" s="152"/>
      <c r="E562" s="149"/>
      <c r="F562" s="152"/>
    </row>
    <row r="563" spans="1:6" ht="20.25" customHeight="1">
      <c r="A563" s="149"/>
      <c r="B563" s="150"/>
      <c r="C563" s="153" t="s">
        <v>4155</v>
      </c>
      <c r="D563" s="152"/>
      <c r="E563" s="149"/>
      <c r="F563" s="152"/>
    </row>
    <row r="564" spans="1:6" ht="20.25" customHeight="1">
      <c r="A564" s="149"/>
      <c r="B564" s="150"/>
      <c r="C564" s="154" t="s">
        <v>5647</v>
      </c>
      <c r="D564" s="152"/>
      <c r="E564" s="149"/>
      <c r="F564" s="152"/>
    </row>
    <row r="565" spans="1:6" ht="20.25" customHeight="1">
      <c r="A565" s="149"/>
      <c r="B565" s="150"/>
      <c r="C565" s="154" t="s">
        <v>5648</v>
      </c>
      <c r="D565" s="152"/>
      <c r="E565" s="149"/>
      <c r="F565" s="152"/>
    </row>
    <row r="566" spans="1:6" ht="20.25" customHeight="1">
      <c r="A566" s="149"/>
      <c r="B566" s="150"/>
      <c r="C566" s="154" t="s">
        <v>5682</v>
      </c>
      <c r="D566" s="152"/>
      <c r="E566" s="149"/>
      <c r="F566" s="152"/>
    </row>
    <row r="567" spans="1:6" ht="20.25" customHeight="1">
      <c r="A567" s="149"/>
      <c r="B567" s="150"/>
      <c r="C567" s="154" t="s">
        <v>5683</v>
      </c>
      <c r="D567" s="152"/>
      <c r="E567" s="149"/>
      <c r="F567" s="152"/>
    </row>
    <row r="568" spans="1:6" ht="20.25" customHeight="1">
      <c r="A568" s="149"/>
      <c r="B568" s="150"/>
      <c r="C568" s="153" t="s">
        <v>5684</v>
      </c>
      <c r="D568" s="187"/>
      <c r="E568" s="188"/>
      <c r="F568" s="187"/>
    </row>
    <row r="569" spans="1:6" ht="20.25" customHeight="1">
      <c r="A569" s="149"/>
      <c r="B569" s="150"/>
      <c r="C569" s="154" t="s">
        <v>5685</v>
      </c>
      <c r="D569" s="187"/>
      <c r="E569" s="188"/>
      <c r="F569" s="187"/>
    </row>
    <row r="570" spans="1:6" ht="20.25" customHeight="1">
      <c r="A570" s="149">
        <v>105.6</v>
      </c>
      <c r="B570" s="150" t="s">
        <v>913</v>
      </c>
      <c r="C570" s="154" t="s">
        <v>5499</v>
      </c>
      <c r="D570" s="152">
        <f>D506</f>
        <v>57.6</v>
      </c>
      <c r="E570" s="149" t="s">
        <v>913</v>
      </c>
      <c r="F570" s="152">
        <f>D570*A570</f>
        <v>6082.56</v>
      </c>
    </row>
    <row r="571" spans="1:6" ht="20.25" customHeight="1">
      <c r="A571" s="149"/>
      <c r="B571" s="150"/>
      <c r="C571" s="153" t="s">
        <v>5447</v>
      </c>
      <c r="D571" s="152">
        <f t="shared" ref="D571:D581" si="22">D507</f>
        <v>0</v>
      </c>
      <c r="E571" s="149"/>
      <c r="F571" s="152"/>
    </row>
    <row r="572" spans="1:6" ht="20.25" customHeight="1">
      <c r="A572" s="149"/>
      <c r="B572" s="150"/>
      <c r="C572" s="154" t="s">
        <v>4164</v>
      </c>
      <c r="D572" s="152">
        <f t="shared" si="22"/>
        <v>0</v>
      </c>
      <c r="E572" s="149"/>
      <c r="F572" s="152"/>
    </row>
    <row r="573" spans="1:6" ht="20.25" customHeight="1">
      <c r="A573" s="149"/>
      <c r="B573" s="150"/>
      <c r="C573" s="154" t="s">
        <v>5240</v>
      </c>
      <c r="D573" s="152">
        <f t="shared" si="22"/>
        <v>0</v>
      </c>
      <c r="E573" s="149"/>
      <c r="F573" s="152"/>
    </row>
    <row r="574" spans="1:6" ht="20.25" customHeight="1">
      <c r="A574" s="149"/>
      <c r="B574" s="150"/>
      <c r="C574" s="154" t="s">
        <v>4166</v>
      </c>
      <c r="D574" s="152">
        <f t="shared" si="22"/>
        <v>0</v>
      </c>
      <c r="E574" s="149"/>
      <c r="F574" s="152"/>
    </row>
    <row r="575" spans="1:6" ht="20.25" customHeight="1">
      <c r="A575" s="149"/>
      <c r="B575" s="150"/>
      <c r="C575" s="154" t="s">
        <v>5239</v>
      </c>
      <c r="D575" s="152">
        <f t="shared" si="22"/>
        <v>0</v>
      </c>
      <c r="E575" s="149"/>
      <c r="F575" s="152"/>
    </row>
    <row r="576" spans="1:6" ht="20.25" customHeight="1">
      <c r="A576" s="149"/>
      <c r="B576" s="150"/>
      <c r="C576" s="154" t="s">
        <v>5686</v>
      </c>
      <c r="D576" s="152">
        <f t="shared" si="22"/>
        <v>0</v>
      </c>
      <c r="E576" s="149"/>
      <c r="F576" s="152"/>
    </row>
    <row r="577" spans="1:6" ht="20.25" customHeight="1">
      <c r="A577" s="149"/>
      <c r="B577" s="150"/>
      <c r="C577" s="154" t="s">
        <v>5657</v>
      </c>
      <c r="D577" s="152">
        <f t="shared" si="22"/>
        <v>0</v>
      </c>
      <c r="E577" s="149"/>
      <c r="F577" s="152"/>
    </row>
    <row r="578" spans="1:6" ht="20.25" customHeight="1">
      <c r="A578" s="149"/>
      <c r="B578" s="150"/>
      <c r="C578" s="154" t="s">
        <v>5658</v>
      </c>
      <c r="D578" s="152">
        <f t="shared" si="22"/>
        <v>0</v>
      </c>
      <c r="E578" s="149"/>
      <c r="F578" s="152"/>
    </row>
    <row r="579" spans="1:6" ht="20.25" customHeight="1">
      <c r="A579" s="149">
        <v>41.1</v>
      </c>
      <c r="B579" s="150" t="s">
        <v>913</v>
      </c>
      <c r="C579" s="154" t="s">
        <v>5659</v>
      </c>
      <c r="D579" s="152">
        <f t="shared" si="22"/>
        <v>57.6</v>
      </c>
      <c r="E579" s="149" t="s">
        <v>913</v>
      </c>
      <c r="F579" s="152">
        <f>D579*A579</f>
        <v>2367.36</v>
      </c>
    </row>
    <row r="580" spans="1:6" ht="20.25" customHeight="1">
      <c r="A580" s="149"/>
      <c r="B580" s="150"/>
      <c r="C580" s="153" t="s">
        <v>4172</v>
      </c>
      <c r="D580" s="152">
        <f t="shared" si="22"/>
        <v>0</v>
      </c>
      <c r="E580" s="149"/>
      <c r="F580" s="152"/>
    </row>
    <row r="581" spans="1:6" ht="20.25" customHeight="1">
      <c r="A581" s="149"/>
      <c r="B581" s="150"/>
      <c r="C581" s="154" t="s">
        <v>5687</v>
      </c>
      <c r="D581" s="152">
        <f t="shared" si="22"/>
        <v>0</v>
      </c>
      <c r="E581" s="149"/>
      <c r="F581" s="152"/>
    </row>
    <row r="582" spans="1:6" ht="20.25" customHeight="1">
      <c r="A582" s="149"/>
      <c r="B582" s="150"/>
      <c r="C582" s="154" t="s">
        <v>5663</v>
      </c>
      <c r="D582" s="152">
        <f t="shared" ref="D582:D592" si="23">D520</f>
        <v>0</v>
      </c>
      <c r="E582" s="149"/>
      <c r="F582" s="152"/>
    </row>
    <row r="583" spans="1:6" ht="20.25" customHeight="1">
      <c r="A583" s="149"/>
      <c r="B583" s="150"/>
      <c r="C583" s="154" t="s">
        <v>5448</v>
      </c>
      <c r="D583" s="152">
        <f t="shared" si="23"/>
        <v>0</v>
      </c>
      <c r="E583" s="149"/>
      <c r="F583" s="152"/>
    </row>
    <row r="584" spans="1:6" ht="20.25" customHeight="1">
      <c r="A584" s="149"/>
      <c r="B584" s="150"/>
      <c r="C584" s="154" t="s">
        <v>5688</v>
      </c>
      <c r="D584" s="152">
        <f t="shared" si="23"/>
        <v>0</v>
      </c>
      <c r="E584" s="149"/>
      <c r="F584" s="152"/>
    </row>
    <row r="585" spans="1:6" ht="20.25" customHeight="1">
      <c r="A585" s="149"/>
      <c r="B585" s="150"/>
      <c r="C585" s="154" t="s">
        <v>5689</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5690</v>
      </c>
      <c r="D587" s="152">
        <f t="shared" si="23"/>
        <v>0</v>
      </c>
      <c r="E587" s="149"/>
      <c r="F587" s="152"/>
    </row>
    <row r="588" spans="1:6" ht="20.25" customHeight="1">
      <c r="A588" s="149"/>
      <c r="B588" s="150"/>
      <c r="C588" s="154" t="s">
        <v>5691</v>
      </c>
      <c r="D588" s="152">
        <f t="shared" si="23"/>
        <v>0</v>
      </c>
      <c r="E588" s="149"/>
      <c r="F588" s="152"/>
    </row>
    <row r="589" spans="1:6" ht="20.25" customHeight="1">
      <c r="A589" s="149"/>
      <c r="B589" s="150"/>
      <c r="C589" s="154" t="s">
        <v>5692</v>
      </c>
      <c r="D589" s="152">
        <f t="shared" si="23"/>
        <v>0</v>
      </c>
      <c r="E589" s="149"/>
      <c r="F589" s="152"/>
    </row>
    <row r="590" spans="1:6" ht="20.25" customHeight="1">
      <c r="A590" s="149">
        <v>19.16</v>
      </c>
      <c r="B590" s="150" t="s">
        <v>913</v>
      </c>
      <c r="C590" s="154" t="s">
        <v>5449</v>
      </c>
      <c r="D590" s="152">
        <f t="shared" si="23"/>
        <v>562</v>
      </c>
      <c r="E590" s="149" t="s">
        <v>913</v>
      </c>
      <c r="F590" s="152">
        <f>SUM(A590*D590)</f>
        <v>10767.92</v>
      </c>
    </row>
    <row r="591" spans="1:6" ht="20.25" customHeight="1">
      <c r="A591" s="149">
        <f>A590</f>
        <v>19.16</v>
      </c>
      <c r="B591" s="150" t="s">
        <v>913</v>
      </c>
      <c r="C591" s="154" t="s">
        <v>4184</v>
      </c>
      <c r="D591" s="152">
        <f t="shared" si="23"/>
        <v>10</v>
      </c>
      <c r="E591" s="149" t="s">
        <v>913</v>
      </c>
      <c r="F591" s="152">
        <f>SUM(A591*D591)</f>
        <v>191.6</v>
      </c>
    </row>
    <row r="592" spans="1:6" ht="20.25" customHeight="1">
      <c r="A592" s="149">
        <v>503</v>
      </c>
      <c r="B592" s="150" t="s">
        <v>154</v>
      </c>
      <c r="C592" s="154" t="s">
        <v>5450</v>
      </c>
      <c r="D592" s="152">
        <f t="shared" si="23"/>
        <v>1</v>
      </c>
      <c r="E592" s="149" t="s">
        <v>4191</v>
      </c>
      <c r="F592" s="152">
        <f>SUM(A592*D592)</f>
        <v>503</v>
      </c>
    </row>
    <row r="593" spans="1:6" ht="20.25" customHeight="1">
      <c r="A593" s="149">
        <v>1</v>
      </c>
      <c r="B593" s="150" t="s">
        <v>1030</v>
      </c>
      <c r="C593" s="154" t="s">
        <v>5693</v>
      </c>
      <c r="D593" s="152">
        <v>5885</v>
      </c>
      <c r="E593" s="149" t="s">
        <v>1714</v>
      </c>
      <c r="F593" s="152">
        <f>SUM(A593*D593)</f>
        <v>5885</v>
      </c>
    </row>
    <row r="594" spans="1:6" ht="20.25" customHeight="1">
      <c r="A594" s="149">
        <v>6</v>
      </c>
      <c r="B594" s="150" t="s">
        <v>1030</v>
      </c>
      <c r="C594" s="154" t="s">
        <v>5694</v>
      </c>
      <c r="D594" s="152">
        <v>2372</v>
      </c>
      <c r="E594" s="149" t="s">
        <v>1714</v>
      </c>
      <c r="F594" s="152">
        <f>SUM(A594*D594)</f>
        <v>14232</v>
      </c>
    </row>
    <row r="595" spans="1:6" ht="20.25" customHeight="1">
      <c r="A595" s="149"/>
      <c r="B595" s="150"/>
      <c r="C595" s="154" t="s">
        <v>5538</v>
      </c>
      <c r="D595" s="152">
        <f>D533</f>
        <v>0</v>
      </c>
      <c r="E595" s="149"/>
      <c r="F595" s="152"/>
    </row>
    <row r="596" spans="1:6" ht="20.25" customHeight="1">
      <c r="A596" s="149"/>
      <c r="B596" s="150"/>
      <c r="C596" s="154" t="s">
        <v>5695</v>
      </c>
      <c r="D596" s="152">
        <f>D534</f>
        <v>0</v>
      </c>
      <c r="E596" s="149"/>
      <c r="F596" s="152"/>
    </row>
    <row r="597" spans="1:6" ht="20.25" customHeight="1">
      <c r="A597" s="149">
        <v>1.44</v>
      </c>
      <c r="B597" s="150" t="s">
        <v>5544</v>
      </c>
      <c r="C597" s="154" t="s">
        <v>5696</v>
      </c>
      <c r="D597" s="152">
        <f>D535</f>
        <v>1322</v>
      </c>
      <c r="E597" s="150" t="s">
        <v>5544</v>
      </c>
      <c r="F597" s="152">
        <f t="shared" ref="F597:F606" si="24">SUM(A597*D597)</f>
        <v>1903.68</v>
      </c>
    </row>
    <row r="598" spans="1:6" ht="20.25" customHeight="1">
      <c r="A598" s="149">
        <v>12</v>
      </c>
      <c r="B598" s="150" t="s">
        <v>1432</v>
      </c>
      <c r="C598" s="154" t="s">
        <v>4195</v>
      </c>
      <c r="D598" s="152">
        <f>D536</f>
        <v>20</v>
      </c>
      <c r="E598" s="149" t="s">
        <v>1714</v>
      </c>
      <c r="F598" s="152">
        <f t="shared" si="24"/>
        <v>240</v>
      </c>
    </row>
    <row r="599" spans="1:6" ht="20.25" customHeight="1">
      <c r="A599" s="149">
        <v>1</v>
      </c>
      <c r="B599" s="150" t="s">
        <v>1432</v>
      </c>
      <c r="C599" s="154" t="s">
        <v>4196</v>
      </c>
      <c r="D599" s="152">
        <f>D537</f>
        <v>280</v>
      </c>
      <c r="E599" s="149" t="s">
        <v>1714</v>
      </c>
      <c r="F599" s="152">
        <f t="shared" si="24"/>
        <v>280</v>
      </c>
    </row>
    <row r="600" spans="1:6" ht="20.25" customHeight="1">
      <c r="A600" s="149">
        <v>3</v>
      </c>
      <c r="B600" s="150" t="s">
        <v>1432</v>
      </c>
      <c r="C600" s="154" t="s">
        <v>5697</v>
      </c>
      <c r="D600" s="152">
        <v>550</v>
      </c>
      <c r="E600" s="149" t="s">
        <v>1714</v>
      </c>
      <c r="F600" s="152">
        <f>SUM(A600*D600)</f>
        <v>1650</v>
      </c>
    </row>
    <row r="601" spans="1:6" ht="20.25" customHeight="1">
      <c r="A601" s="149">
        <v>1</v>
      </c>
      <c r="B601" s="150" t="s">
        <v>1432</v>
      </c>
      <c r="C601" s="154" t="s">
        <v>5698</v>
      </c>
      <c r="D601" s="152">
        <v>144</v>
      </c>
      <c r="E601" s="149" t="s">
        <v>1714</v>
      </c>
      <c r="F601" s="152">
        <f>SUM(A601*D601)</f>
        <v>144</v>
      </c>
    </row>
    <row r="602" spans="1:6" ht="20.25" customHeight="1">
      <c r="A602" s="149">
        <v>5</v>
      </c>
      <c r="B602" s="150" t="s">
        <v>826</v>
      </c>
      <c r="C602" s="154" t="s">
        <v>5699</v>
      </c>
      <c r="D602" s="152">
        <v>295</v>
      </c>
      <c r="E602" s="149" t="s">
        <v>1714</v>
      </c>
      <c r="F602" s="152">
        <f t="shared" si="24"/>
        <v>1475</v>
      </c>
    </row>
    <row r="603" spans="1:6" ht="20.25" customHeight="1">
      <c r="A603" s="149">
        <v>105.6</v>
      </c>
      <c r="B603" s="150" t="s">
        <v>913</v>
      </c>
      <c r="C603" s="154" t="s">
        <v>5453</v>
      </c>
      <c r="D603" s="152">
        <f>D540</f>
        <v>52.5</v>
      </c>
      <c r="E603" s="150" t="s">
        <v>913</v>
      </c>
      <c r="F603" s="152">
        <f t="shared" si="24"/>
        <v>5544</v>
      </c>
    </row>
    <row r="604" spans="1:6" ht="20.25" customHeight="1">
      <c r="A604" s="149">
        <v>41.1</v>
      </c>
      <c r="B604" s="150" t="s">
        <v>913</v>
      </c>
      <c r="C604" s="154" t="s">
        <v>5454</v>
      </c>
      <c r="D604" s="152">
        <f>D541</f>
        <v>52.5</v>
      </c>
      <c r="E604" s="150" t="s">
        <v>913</v>
      </c>
      <c r="F604" s="152">
        <f t="shared" si="24"/>
        <v>2157.75</v>
      </c>
    </row>
    <row r="605" spans="1:6" ht="20.25" customHeight="1">
      <c r="A605" s="149">
        <v>7</v>
      </c>
      <c r="B605" s="150" t="s">
        <v>1432</v>
      </c>
      <c r="C605" s="154" t="s">
        <v>5700</v>
      </c>
      <c r="D605" s="152">
        <v>1898</v>
      </c>
      <c r="E605" s="150" t="s">
        <v>1714</v>
      </c>
      <c r="F605" s="152">
        <f t="shared" si="24"/>
        <v>13286</v>
      </c>
    </row>
    <row r="606" spans="1:6" ht="20.25" customHeight="1">
      <c r="A606" s="149">
        <v>180.5</v>
      </c>
      <c r="B606" s="150" t="s">
        <v>4198</v>
      </c>
      <c r="C606" s="154" t="s">
        <v>4199</v>
      </c>
      <c r="D606" s="152">
        <f>D543</f>
        <v>10</v>
      </c>
      <c r="E606" s="150" t="s">
        <v>4200</v>
      </c>
      <c r="F606" s="152">
        <f t="shared" si="24"/>
        <v>1805</v>
      </c>
    </row>
    <row r="607" spans="1:6" ht="20.25" customHeight="1">
      <c r="A607" s="149"/>
      <c r="B607" s="150"/>
      <c r="C607" s="154" t="s">
        <v>4203</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4204</v>
      </c>
      <c r="D609" s="152"/>
      <c r="E609" s="149"/>
      <c r="F609" s="152">
        <f>F608*2%</f>
        <v>1376.3</v>
      </c>
    </row>
    <row r="610" spans="1:6" ht="20.25" customHeight="1">
      <c r="A610" s="149"/>
      <c r="B610" s="150"/>
      <c r="C610" s="154" t="s">
        <v>4205</v>
      </c>
      <c r="D610" s="152"/>
      <c r="E610" s="149"/>
      <c r="F610" s="152">
        <v>2000</v>
      </c>
    </row>
    <row r="611" spans="1:6" ht="20.25" customHeight="1">
      <c r="A611" s="149"/>
      <c r="B611" s="150"/>
      <c r="C611" s="154" t="s">
        <v>4206</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5446</v>
      </c>
      <c r="F613" s="164">
        <v>73300</v>
      </c>
    </row>
    <row r="614" spans="1:6" ht="20.25" customHeight="1">
      <c r="A614" s="208"/>
      <c r="B614" s="208"/>
      <c r="C614" s="208"/>
      <c r="D614" s="209"/>
      <c r="E614" s="208"/>
      <c r="F614" s="208"/>
    </row>
    <row r="630" spans="1:11" ht="20.25" customHeight="1">
      <c r="A630" s="169"/>
      <c r="B630" s="169"/>
      <c r="C630" s="189" t="s">
        <v>248</v>
      </c>
      <c r="D630" s="169"/>
      <c r="E630" s="171" t="s">
        <v>5227</v>
      </c>
      <c r="F630" s="169"/>
    </row>
    <row r="631" spans="1:11" ht="20.25" customHeight="1">
      <c r="A631" s="169"/>
      <c r="B631" s="169"/>
      <c r="C631" s="190" t="s">
        <v>652</v>
      </c>
      <c r="D631" s="169"/>
      <c r="E631" s="175"/>
      <c r="F631" s="169"/>
    </row>
    <row r="632" spans="1:11" ht="20.25" customHeight="1">
      <c r="A632" s="191" t="s">
        <v>1585</v>
      </c>
      <c r="B632" s="169" t="s">
        <v>975</v>
      </c>
      <c r="C632" s="171" t="s">
        <v>5187</v>
      </c>
      <c r="D632" s="169"/>
      <c r="E632" s="189" t="s">
        <v>4624</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4155</v>
      </c>
      <c r="D636" s="123"/>
      <c r="E636" s="126"/>
      <c r="F636" s="123"/>
      <c r="J636" s="165">
        <v>18975.18</v>
      </c>
      <c r="K636" s="165">
        <v>18650.7</v>
      </c>
    </row>
    <row r="637" spans="1:11" ht="20.25" customHeight="1">
      <c r="A637" s="123"/>
      <c r="B637" s="124"/>
      <c r="C637" s="128" t="s">
        <v>5188</v>
      </c>
      <c r="D637" s="123"/>
      <c r="E637" s="126">
        <f>3.3*3.3*2+6.6+6.6+6.6</f>
        <v>41.58</v>
      </c>
      <c r="F637" s="123"/>
      <c r="J637" s="165">
        <f>J636*100000</f>
        <v>1897518000</v>
      </c>
      <c r="K637" s="165">
        <f>K636*100000</f>
        <v>1865070000</v>
      </c>
    </row>
    <row r="638" spans="1:11" ht="20.25" customHeight="1">
      <c r="A638" s="123"/>
      <c r="B638" s="124"/>
      <c r="C638" s="128" t="s">
        <v>5189</v>
      </c>
      <c r="D638" s="123"/>
      <c r="E638" s="126"/>
      <c r="F638" s="123"/>
      <c r="J638" s="165">
        <f>J637/J635</f>
        <v>2046.76534220541</v>
      </c>
      <c r="K638" s="165">
        <f>K637/K635</f>
        <v>2011.76517787291</v>
      </c>
    </row>
    <row r="639" spans="1:11" ht="20.25" customHeight="1">
      <c r="A639" s="123"/>
      <c r="B639" s="124"/>
      <c r="C639" s="128" t="s">
        <v>5190</v>
      </c>
      <c r="D639" s="123"/>
      <c r="E639" s="126"/>
      <c r="F639" s="123"/>
    </row>
    <row r="640" spans="1:11" ht="20.25" customHeight="1">
      <c r="A640" s="123"/>
      <c r="B640" s="124"/>
      <c r="C640" s="128" t="s">
        <v>5191</v>
      </c>
      <c r="D640" s="123"/>
      <c r="E640" s="126"/>
      <c r="F640" s="123"/>
    </row>
    <row r="641" spans="1:6" ht="20.25" customHeight="1">
      <c r="A641" s="123"/>
      <c r="B641" s="124"/>
      <c r="C641" s="128" t="s">
        <v>5192</v>
      </c>
      <c r="D641" s="123"/>
      <c r="E641" s="126"/>
      <c r="F641" s="123"/>
    </row>
    <row r="642" spans="1:6" ht="20.25" customHeight="1">
      <c r="A642" s="123"/>
      <c r="B642" s="124"/>
      <c r="C642" s="128" t="s">
        <v>5193</v>
      </c>
      <c r="D642" s="123"/>
      <c r="E642" s="126"/>
      <c r="F642" s="123"/>
    </row>
    <row r="643" spans="1:6" ht="20.25" customHeight="1">
      <c r="A643" s="123"/>
      <c r="B643" s="124"/>
      <c r="C643" s="128" t="s">
        <v>5194</v>
      </c>
      <c r="D643" s="123"/>
      <c r="E643" s="126"/>
      <c r="F643" s="123"/>
    </row>
    <row r="644" spans="1:6" ht="20.25" customHeight="1">
      <c r="A644" s="123"/>
      <c r="B644" s="124"/>
      <c r="C644" s="128" t="s">
        <v>5195</v>
      </c>
      <c r="D644" s="123"/>
      <c r="E644" s="126"/>
      <c r="F644" s="123"/>
    </row>
    <row r="645" spans="1:6" ht="20.25" customHeight="1">
      <c r="A645" s="132">
        <v>105.6</v>
      </c>
      <c r="B645" s="124" t="s">
        <v>913</v>
      </c>
      <c r="C645" s="128" t="s">
        <v>5196</v>
      </c>
      <c r="D645" s="123">
        <f>D570</f>
        <v>57.6</v>
      </c>
      <c r="E645" s="126" t="s">
        <v>913</v>
      </c>
      <c r="F645" s="123">
        <f>D645*A645</f>
        <v>6082.56</v>
      </c>
    </row>
    <row r="646" spans="1:6" ht="20.25" customHeight="1">
      <c r="A646" s="179"/>
      <c r="B646" s="124"/>
      <c r="C646" s="127" t="s">
        <v>4163</v>
      </c>
      <c r="D646" s="123"/>
      <c r="E646" s="126"/>
      <c r="F646" s="123"/>
    </row>
    <row r="647" spans="1:6" ht="20.25" customHeight="1">
      <c r="A647" s="123"/>
      <c r="B647" s="124"/>
      <c r="C647" s="128" t="s">
        <v>4164</v>
      </c>
      <c r="D647" s="123"/>
      <c r="E647" s="126"/>
      <c r="F647" s="123"/>
    </row>
    <row r="648" spans="1:6" ht="20.25" customHeight="1">
      <c r="A648" s="123"/>
      <c r="B648" s="124"/>
      <c r="C648" s="128" t="s">
        <v>5197</v>
      </c>
      <c r="D648" s="123"/>
      <c r="E648" s="126"/>
      <c r="F648" s="123"/>
    </row>
    <row r="649" spans="1:6" ht="20.25" customHeight="1">
      <c r="A649" s="123"/>
      <c r="B649" s="124"/>
      <c r="C649" s="128" t="s">
        <v>5198</v>
      </c>
      <c r="D649" s="123"/>
      <c r="E649" s="126"/>
      <c r="F649" s="123"/>
    </row>
    <row r="650" spans="1:6" ht="20.25" customHeight="1">
      <c r="A650" s="123"/>
      <c r="B650" s="124"/>
      <c r="C650" s="128" t="s">
        <v>4167</v>
      </c>
      <c r="D650" s="123"/>
      <c r="E650" s="126"/>
      <c r="F650" s="123"/>
    </row>
    <row r="651" spans="1:6" ht="20.25" customHeight="1">
      <c r="A651" s="123"/>
      <c r="B651" s="124"/>
      <c r="C651" s="128" t="s">
        <v>5199</v>
      </c>
      <c r="D651" s="123"/>
      <c r="E651" s="126"/>
      <c r="F651" s="123"/>
    </row>
    <row r="652" spans="1:6" ht="20.25" customHeight="1">
      <c r="A652" s="123"/>
      <c r="B652" s="124"/>
      <c r="C652" s="128" t="s">
        <v>5200</v>
      </c>
      <c r="D652" s="123"/>
      <c r="E652" s="126"/>
      <c r="F652" s="123"/>
    </row>
    <row r="653" spans="1:6" ht="20.25" customHeight="1">
      <c r="A653" s="123"/>
      <c r="B653" s="124"/>
      <c r="C653" s="128" t="s">
        <v>5201</v>
      </c>
      <c r="D653" s="123"/>
      <c r="E653" s="126"/>
      <c r="F653" s="123"/>
    </row>
    <row r="654" spans="1:6" ht="20.25" customHeight="1">
      <c r="A654" s="123">
        <v>41.1</v>
      </c>
      <c r="B654" s="124" t="s">
        <v>913</v>
      </c>
      <c r="C654" s="128" t="s">
        <v>4171</v>
      </c>
      <c r="D654" s="123">
        <f>D645</f>
        <v>57.6</v>
      </c>
      <c r="E654" s="126" t="s">
        <v>913</v>
      </c>
      <c r="F654" s="123">
        <f>SUM(A654*D654)</f>
        <v>2367.36</v>
      </c>
    </row>
    <row r="655" spans="1:6" ht="20.25" customHeight="1">
      <c r="A655" s="123"/>
      <c r="B655" s="124"/>
      <c r="C655" s="127" t="s">
        <v>4172</v>
      </c>
      <c r="D655" s="123"/>
      <c r="E655" s="126"/>
      <c r="F655" s="123"/>
    </row>
    <row r="656" spans="1:6" ht="20.25" customHeight="1">
      <c r="A656" s="123"/>
      <c r="B656" s="124"/>
      <c r="C656" s="128" t="s">
        <v>5202</v>
      </c>
      <c r="D656" s="123"/>
      <c r="E656" s="126"/>
      <c r="F656" s="123"/>
    </row>
    <row r="657" spans="1:6" ht="20.25" customHeight="1">
      <c r="A657" s="123"/>
      <c r="B657" s="124"/>
      <c r="C657" s="128" t="s">
        <v>5203</v>
      </c>
      <c r="D657" s="123"/>
      <c r="E657" s="126"/>
      <c r="F657" s="123"/>
    </row>
    <row r="658" spans="1:6" ht="20.25" customHeight="1">
      <c r="A658" s="123"/>
      <c r="B658" s="124"/>
      <c r="C658" s="128" t="s">
        <v>5204</v>
      </c>
      <c r="D658" s="123"/>
      <c r="E658" s="126"/>
      <c r="F658" s="123"/>
    </row>
    <row r="659" spans="1:6" ht="20.25" customHeight="1">
      <c r="A659" s="123"/>
      <c r="B659" s="124"/>
      <c r="C659" s="128" t="s">
        <v>5205</v>
      </c>
      <c r="D659" s="123"/>
      <c r="E659" s="126"/>
      <c r="F659" s="123"/>
    </row>
    <row r="660" spans="1:6" ht="20.25" customHeight="1">
      <c r="A660" s="123"/>
      <c r="B660" s="124"/>
      <c r="C660" s="128" t="s">
        <v>5206</v>
      </c>
      <c r="D660" s="123"/>
      <c r="E660" s="126"/>
      <c r="F660" s="123"/>
    </row>
    <row r="661" spans="1:6" ht="20.25" customHeight="1">
      <c r="A661" s="128"/>
      <c r="B661" s="128"/>
      <c r="C661" s="128" t="s">
        <v>5207</v>
      </c>
      <c r="D661" s="128"/>
      <c r="E661" s="128"/>
      <c r="F661" s="128"/>
    </row>
    <row r="662" spans="1:6" ht="20.25" customHeight="1">
      <c r="A662" s="123"/>
      <c r="B662" s="124"/>
      <c r="C662" s="128" t="s">
        <v>4177</v>
      </c>
      <c r="D662" s="123"/>
      <c r="E662" s="126"/>
      <c r="F662" s="123"/>
    </row>
    <row r="663" spans="1:6" ht="20.25" customHeight="1">
      <c r="A663" s="123"/>
      <c r="B663" s="124"/>
      <c r="C663" s="128" t="s">
        <v>5208</v>
      </c>
      <c r="D663" s="123"/>
      <c r="E663" s="126"/>
      <c r="F663" s="123"/>
    </row>
    <row r="664" spans="1:6" ht="20.25" customHeight="1">
      <c r="A664" s="123"/>
      <c r="B664" s="124"/>
      <c r="C664" s="128" t="s">
        <v>5209</v>
      </c>
      <c r="D664" s="123"/>
      <c r="E664" s="126"/>
      <c r="F664" s="123"/>
    </row>
    <row r="665" spans="1:6" ht="20.25" customHeight="1">
      <c r="A665" s="123"/>
      <c r="B665" s="124"/>
      <c r="C665" s="128" t="s">
        <v>5210</v>
      </c>
      <c r="D665" s="123"/>
      <c r="E665" s="126"/>
      <c r="F665" s="123"/>
    </row>
    <row r="666" spans="1:6" ht="20.25" customHeight="1">
      <c r="A666" s="123"/>
      <c r="B666" s="124"/>
      <c r="C666" s="128"/>
      <c r="D666" s="123"/>
      <c r="E666" s="126"/>
      <c r="F666" s="123"/>
    </row>
    <row r="667" spans="1:6" ht="20.25" customHeight="1">
      <c r="A667" s="123">
        <v>11.68</v>
      </c>
      <c r="B667" s="124" t="s">
        <v>913</v>
      </c>
      <c r="C667" s="128" t="s">
        <v>5211</v>
      </c>
      <c r="D667" s="123">
        <f>D590</f>
        <v>562</v>
      </c>
      <c r="E667" s="126" t="s">
        <v>913</v>
      </c>
      <c r="F667" s="123">
        <f>SUM(A667*D667)</f>
        <v>6564.16</v>
      </c>
    </row>
    <row r="668" spans="1:6" ht="20.25" customHeight="1">
      <c r="A668" s="123">
        <f>A667</f>
        <v>11.68</v>
      </c>
      <c r="B668" s="124" t="s">
        <v>913</v>
      </c>
      <c r="C668" s="128" t="s">
        <v>4184</v>
      </c>
      <c r="D668" s="123">
        <f>D591</f>
        <v>10</v>
      </c>
      <c r="E668" s="126" t="s">
        <v>913</v>
      </c>
      <c r="F668" s="123">
        <f>SUM(A668*D668)</f>
        <v>116.8</v>
      </c>
    </row>
    <row r="669" spans="1:6" ht="20.25" customHeight="1">
      <c r="A669" s="123">
        <v>503</v>
      </c>
      <c r="B669" s="124" t="s">
        <v>4191</v>
      </c>
      <c r="C669" s="128" t="s">
        <v>4192</v>
      </c>
      <c r="D669" s="123">
        <f>D592</f>
        <v>1</v>
      </c>
      <c r="E669" s="126" t="s">
        <v>4191</v>
      </c>
      <c r="F669" s="123">
        <f>SUM(A669*D669)</f>
        <v>503</v>
      </c>
    </row>
    <row r="670" spans="1:6" ht="20.25" customHeight="1">
      <c r="A670" s="123">
        <v>1</v>
      </c>
      <c r="B670" s="124" t="s">
        <v>1394</v>
      </c>
      <c r="C670" s="128" t="s">
        <v>5212</v>
      </c>
      <c r="D670" s="123">
        <v>8577</v>
      </c>
      <c r="E670" s="126" t="str">
        <f>B670</f>
        <v>No</v>
      </c>
      <c r="F670" s="123">
        <f t="shared" ref="F670:F680" si="25">SUM(A670*D670)</f>
        <v>8577</v>
      </c>
    </row>
    <row r="671" spans="1:6" ht="20.25" customHeight="1">
      <c r="A671" s="123">
        <v>6</v>
      </c>
      <c r="B671" s="124" t="s">
        <v>1394</v>
      </c>
      <c r="C671" s="128" t="s">
        <v>5213</v>
      </c>
      <c r="D671" s="123">
        <v>2349</v>
      </c>
      <c r="E671" s="126" t="str">
        <f>B671</f>
        <v>No</v>
      </c>
      <c r="F671" s="123">
        <f t="shared" si="25"/>
        <v>14094</v>
      </c>
    </row>
    <row r="672" spans="1:6" ht="20.25" customHeight="1">
      <c r="A672" s="123">
        <v>1.44</v>
      </c>
      <c r="B672" s="124" t="s">
        <v>2283</v>
      </c>
      <c r="C672" s="128" t="s">
        <v>5214</v>
      </c>
      <c r="D672" s="123">
        <f>2*563</f>
        <v>1126</v>
      </c>
      <c r="E672" s="126" t="s">
        <v>2283</v>
      </c>
      <c r="F672" s="123">
        <f t="shared" si="25"/>
        <v>1621.44</v>
      </c>
    </row>
    <row r="673" spans="1:6" ht="20.25" customHeight="1">
      <c r="A673" s="123">
        <v>12</v>
      </c>
      <c r="B673" s="124" t="s">
        <v>1394</v>
      </c>
      <c r="C673" s="128" t="s">
        <v>4195</v>
      </c>
      <c r="D673" s="123">
        <v>20</v>
      </c>
      <c r="E673" s="126" t="s">
        <v>1394</v>
      </c>
      <c r="F673" s="123">
        <f t="shared" si="25"/>
        <v>240</v>
      </c>
    </row>
    <row r="674" spans="1:6" ht="20.25" customHeight="1">
      <c r="A674" s="123">
        <v>1</v>
      </c>
      <c r="B674" s="124" t="s">
        <v>145</v>
      </c>
      <c r="C674" s="128" t="s">
        <v>4196</v>
      </c>
      <c r="D674" s="123">
        <v>280</v>
      </c>
      <c r="E674" s="126" t="s">
        <v>145</v>
      </c>
      <c r="F674" s="123">
        <f t="shared" si="25"/>
        <v>280</v>
      </c>
    </row>
    <row r="675" spans="1:6" ht="20.25" customHeight="1">
      <c r="A675" s="123">
        <v>3</v>
      </c>
      <c r="B675" s="124" t="s">
        <v>1394</v>
      </c>
      <c r="C675" s="128" t="s">
        <v>5215</v>
      </c>
      <c r="D675" s="123">
        <v>47.2</v>
      </c>
      <c r="E675" s="126" t="str">
        <f>B675</f>
        <v>No</v>
      </c>
      <c r="F675" s="123">
        <f t="shared" si="25"/>
        <v>141.6</v>
      </c>
    </row>
    <row r="676" spans="1:6" ht="20.25" customHeight="1">
      <c r="A676" s="123">
        <v>5</v>
      </c>
      <c r="B676" s="124" t="s">
        <v>826</v>
      </c>
      <c r="C676" s="128" t="s">
        <v>5216</v>
      </c>
      <c r="D676" s="123">
        <v>13.5</v>
      </c>
      <c r="E676" s="126" t="str">
        <f>B676</f>
        <v>Rmt</v>
      </c>
      <c r="F676" s="123">
        <f t="shared" si="25"/>
        <v>67.5</v>
      </c>
    </row>
    <row r="677" spans="1:6" ht="20.25" customHeight="1">
      <c r="A677" s="123">
        <v>105.6</v>
      </c>
      <c r="B677" s="124" t="s">
        <v>1645</v>
      </c>
      <c r="C677" s="128" t="s">
        <v>5217</v>
      </c>
      <c r="D677" s="123">
        <v>38.4</v>
      </c>
      <c r="E677" s="126" t="str">
        <f>B677</f>
        <v>Kg</v>
      </c>
      <c r="F677" s="123">
        <f t="shared" si="25"/>
        <v>4055.04</v>
      </c>
    </row>
    <row r="678" spans="1:6" ht="20.25" customHeight="1">
      <c r="A678" s="123">
        <v>41.1</v>
      </c>
      <c r="B678" s="124" t="s">
        <v>1645</v>
      </c>
      <c r="C678" s="128" t="s">
        <v>5218</v>
      </c>
      <c r="D678" s="123">
        <f>D677</f>
        <v>38.4</v>
      </c>
      <c r="E678" s="126" t="str">
        <f>B678</f>
        <v>Kg</v>
      </c>
      <c r="F678" s="123">
        <f t="shared" si="25"/>
        <v>1578.24</v>
      </c>
    </row>
    <row r="679" spans="1:6" ht="20.25" customHeight="1">
      <c r="A679" s="123">
        <v>7</v>
      </c>
      <c r="B679" s="124" t="s">
        <v>1398</v>
      </c>
      <c r="C679" s="128" t="s">
        <v>5219</v>
      </c>
      <c r="D679" s="123">
        <v>1454</v>
      </c>
      <c r="E679" s="126" t="str">
        <f>B679</f>
        <v>Each</v>
      </c>
      <c r="F679" s="123">
        <f t="shared" si="25"/>
        <v>10178</v>
      </c>
    </row>
    <row r="680" spans="1:6" ht="20.25" customHeight="1">
      <c r="A680" s="123">
        <v>180.4</v>
      </c>
      <c r="B680" s="124" t="s">
        <v>5220</v>
      </c>
      <c r="C680" s="128" t="s">
        <v>5221</v>
      </c>
      <c r="D680" s="123">
        <v>10</v>
      </c>
      <c r="E680" s="126" t="s">
        <v>5222</v>
      </c>
      <c r="F680" s="123">
        <f t="shared" si="25"/>
        <v>1804</v>
      </c>
    </row>
    <row r="681" spans="1:6" ht="20.25" customHeight="1">
      <c r="A681" s="123"/>
      <c r="B681" s="124"/>
      <c r="C681" s="128" t="s">
        <v>5223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5224</v>
      </c>
      <c r="D683" s="123"/>
      <c r="E683" s="126"/>
      <c r="F683" s="123">
        <f>F682*(2/100)</f>
        <v>1171.4100000000001</v>
      </c>
    </row>
    <row r="684" spans="1:6" ht="20.25" customHeight="1">
      <c r="A684" s="123"/>
      <c r="B684" s="124"/>
      <c r="C684" s="128" t="s">
        <v>5225</v>
      </c>
      <c r="D684" s="123"/>
      <c r="E684" s="126"/>
      <c r="F684" s="123">
        <v>2000</v>
      </c>
    </row>
    <row r="685" spans="1:6" ht="20.25" customHeight="1">
      <c r="A685" s="123"/>
      <c r="B685" s="124"/>
      <c r="C685" s="128" t="s">
        <v>5226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4223</v>
      </c>
      <c r="F687" s="130">
        <v>62073</v>
      </c>
    </row>
    <row r="799" spans="1:7" ht="20.25" customHeight="1">
      <c r="C799" s="165" t="s">
        <v>5997</v>
      </c>
    </row>
    <row r="800" spans="1:7" ht="20.25" customHeight="1">
      <c r="A800" s="85"/>
      <c r="B800" s="85"/>
      <c r="C800" s="225" t="s">
        <v>5970</v>
      </c>
      <c r="D800" s="225"/>
      <c r="E800" s="85"/>
      <c r="F800" s="85"/>
      <c r="G800" s="20" t="s">
        <v>5159</v>
      </c>
    </row>
    <row r="801" spans="1:7" ht="20.25" customHeight="1">
      <c r="A801" s="85"/>
      <c r="B801" s="85"/>
      <c r="C801" s="226" t="s">
        <v>5971</v>
      </c>
      <c r="D801" s="226"/>
      <c r="E801" s="85"/>
      <c r="F801" s="85"/>
      <c r="G801" s="20"/>
    </row>
    <row r="802" spans="1:7" ht="20.25" customHeight="1">
      <c r="A802" s="85"/>
      <c r="B802" s="85"/>
      <c r="C802" s="85" t="s">
        <v>5737</v>
      </c>
      <c r="D802" s="85"/>
      <c r="E802" s="85"/>
      <c r="F802" s="85"/>
      <c r="G802" s="20"/>
    </row>
    <row r="803" spans="1:7" ht="20.25" customHeight="1">
      <c r="A803" s="85"/>
      <c r="B803" s="85"/>
      <c r="C803" s="85" t="s">
        <v>5972</v>
      </c>
      <c r="D803" s="85"/>
      <c r="E803" s="85" t="s">
        <v>5973</v>
      </c>
      <c r="F803" s="85"/>
      <c r="G803" s="20"/>
    </row>
    <row r="804" spans="1:7" ht="20.25" customHeight="1">
      <c r="A804" s="85"/>
      <c r="B804" s="85"/>
      <c r="C804" s="85" t="s">
        <v>5974</v>
      </c>
      <c r="D804" s="85"/>
      <c r="E804" s="85" t="s">
        <v>5975</v>
      </c>
      <c r="F804" s="85"/>
      <c r="G804" s="20"/>
    </row>
    <row r="805" spans="1:7" ht="20.25" customHeight="1">
      <c r="A805" s="85"/>
      <c r="B805" s="85"/>
      <c r="C805" s="85" t="s">
        <v>5976</v>
      </c>
      <c r="D805" s="85"/>
      <c r="E805" s="85" t="s">
        <v>5977</v>
      </c>
      <c r="F805" s="85"/>
      <c r="G805" s="20"/>
    </row>
    <row r="806" spans="1:7" ht="20.25" customHeight="1">
      <c r="A806" s="85"/>
      <c r="B806" s="85"/>
      <c r="C806" s="85" t="s">
        <v>5978</v>
      </c>
      <c r="D806" s="85"/>
      <c r="E806" s="85" t="s">
        <v>5979</v>
      </c>
      <c r="F806" s="85"/>
      <c r="G806" s="20"/>
    </row>
    <row r="807" spans="1:7" ht="20.25" customHeight="1">
      <c r="A807" s="85"/>
      <c r="B807" s="85"/>
      <c r="C807" s="85" t="s">
        <v>5980</v>
      </c>
      <c r="D807" s="85"/>
      <c r="E807" s="85" t="s">
        <v>5981</v>
      </c>
      <c r="F807" s="85"/>
      <c r="G807" s="20"/>
    </row>
    <row r="808" spans="1:7" ht="20.25" customHeight="1">
      <c r="A808" s="85"/>
      <c r="B808" s="85"/>
      <c r="C808" s="85" t="s">
        <v>5982</v>
      </c>
      <c r="D808" s="85"/>
      <c r="E808" s="226" t="s">
        <v>5983</v>
      </c>
      <c r="F808" s="85"/>
      <c r="G808" s="20"/>
    </row>
    <row r="809" spans="1:7" ht="20.25" customHeight="1">
      <c r="A809" s="85"/>
      <c r="B809" s="85"/>
      <c r="C809" s="85" t="s">
        <v>4420</v>
      </c>
      <c r="D809" s="85"/>
      <c r="E809" s="226" t="s">
        <v>5984</v>
      </c>
      <c r="F809" s="85"/>
      <c r="G809" s="20"/>
    </row>
    <row r="810" spans="1:7" ht="20.25" customHeight="1">
      <c r="A810" s="85"/>
      <c r="B810" s="85"/>
      <c r="C810" s="86" t="s">
        <v>5982</v>
      </c>
      <c r="D810" s="86"/>
      <c r="E810" s="226" t="s">
        <v>5985</v>
      </c>
      <c r="F810" s="85"/>
      <c r="G810" s="20"/>
    </row>
    <row r="811" spans="1:7" ht="20.25" customHeight="1">
      <c r="A811" s="85"/>
      <c r="B811" s="85"/>
      <c r="C811" s="85" t="s">
        <v>5986</v>
      </c>
      <c r="D811" s="85"/>
      <c r="E811" s="226" t="s">
        <v>5987</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5754</v>
      </c>
      <c r="D815" s="90"/>
      <c r="E815" s="227"/>
      <c r="F815" s="215"/>
      <c r="G815" s="20"/>
    </row>
    <row r="816" spans="1:7" ht="20.25" customHeight="1">
      <c r="A816" s="85"/>
      <c r="B816" s="85"/>
      <c r="C816" s="90" t="s">
        <v>5755</v>
      </c>
      <c r="D816" s="90"/>
      <c r="E816" s="227"/>
      <c r="F816" s="215"/>
      <c r="G816" s="20"/>
    </row>
    <row r="817" spans="1:7" ht="20.25" customHeight="1">
      <c r="A817" s="85"/>
      <c r="B817" s="85"/>
      <c r="C817" s="90" t="s">
        <v>5756</v>
      </c>
      <c r="D817" s="90"/>
      <c r="E817" s="227"/>
      <c r="F817" s="215"/>
      <c r="G817" s="20"/>
    </row>
    <row r="818" spans="1:7" ht="20.25" customHeight="1">
      <c r="A818" s="85"/>
      <c r="B818" s="85"/>
      <c r="C818" s="90" t="s">
        <v>5757</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5991</v>
      </c>
      <c r="D820" s="90"/>
      <c r="E820" s="227">
        <f>E812</f>
        <v>57.6</v>
      </c>
      <c r="F820" s="215" t="s">
        <v>913</v>
      </c>
      <c r="G820" s="20">
        <f>E820*A820</f>
        <v>1278.72</v>
      </c>
    </row>
    <row r="821" spans="1:7" ht="20.25" customHeight="1">
      <c r="A821" s="85"/>
      <c r="B821" s="215"/>
      <c r="C821" s="90" t="s">
        <v>5758</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4191</v>
      </c>
      <c r="G830" s="20">
        <f t="shared" si="28"/>
        <v>836</v>
      </c>
    </row>
    <row r="831" spans="1:7" ht="20.25" customHeight="1">
      <c r="A831" s="85"/>
      <c r="B831" s="215"/>
      <c r="C831" s="90" t="s">
        <v>5760</v>
      </c>
      <c r="D831" s="90"/>
      <c r="E831" s="227"/>
      <c r="F831" s="215"/>
      <c r="G831" s="20"/>
    </row>
    <row r="832" spans="1:7" ht="20.25" customHeight="1">
      <c r="A832" s="20">
        <v>31.4</v>
      </c>
      <c r="B832" s="215" t="s">
        <v>5761</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5992</v>
      </c>
      <c r="C833" s="90" t="str">
        <f t="shared" si="29"/>
        <v>Cost of hylum sheet 6mm [SR 2022-23 / P.129]</v>
      </c>
      <c r="D833" s="90"/>
      <c r="E833" s="227">
        <f t="shared" si="30"/>
        <v>1322</v>
      </c>
      <c r="F833" s="215" t="s">
        <v>5992</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4214</v>
      </c>
      <c r="C835" s="90" t="str">
        <f t="shared" si="29"/>
        <v>LED pilot lamps( qtn)</v>
      </c>
      <c r="D835" s="230" t="s">
        <v>2251</v>
      </c>
      <c r="E835" s="227">
        <f t="shared" si="30"/>
        <v>280</v>
      </c>
      <c r="F835" s="215" t="s">
        <v>145</v>
      </c>
      <c r="G835" s="231">
        <f t="shared" si="31"/>
        <v>280</v>
      </c>
    </row>
    <row r="836" spans="1:7" ht="20.25" customHeight="1">
      <c r="A836" s="20">
        <v>5</v>
      </c>
      <c r="B836" s="215" t="s">
        <v>5993</v>
      </c>
      <c r="C836" s="235" t="str">
        <f t="shared" si="29"/>
        <v>1 sqmm PVC copper cable [SR 2022-23 / P.125]</v>
      </c>
      <c r="D836" s="90"/>
      <c r="E836" s="227">
        <f t="shared" si="30"/>
        <v>10.45</v>
      </c>
      <c r="F836" s="215" t="s">
        <v>5993</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5763</v>
      </c>
      <c r="C839" s="235" t="str">
        <f t="shared" si="29"/>
        <v>Painting with primer &amp; suitable colour( qtn)</v>
      </c>
      <c r="D839" s="90"/>
      <c r="E839" s="227">
        <f t="shared" si="30"/>
        <v>10</v>
      </c>
      <c r="F839" s="215" t="s">
        <v>4200</v>
      </c>
      <c r="G839" s="20">
        <f t="shared" si="31"/>
        <v>2756.4</v>
      </c>
    </row>
    <row r="840" spans="1:7" ht="20.25" customHeight="1">
      <c r="A840" s="20">
        <v>68</v>
      </c>
      <c r="B840" s="232" t="s">
        <v>5761</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5765</v>
      </c>
      <c r="D841" s="90"/>
      <c r="E841" s="233"/>
      <c r="F841" s="85"/>
      <c r="G841" s="20"/>
    </row>
    <row r="842" spans="1:7" ht="20.25" customHeight="1">
      <c r="A842" s="20"/>
      <c r="B842" s="85"/>
      <c r="C842" s="90" t="s">
        <v>5994</v>
      </c>
      <c r="D842" s="90"/>
      <c r="E842" s="233"/>
      <c r="F842" s="85"/>
      <c r="G842" s="20"/>
    </row>
    <row r="843" spans="1:7" ht="20.25" customHeight="1">
      <c r="A843" s="20"/>
      <c r="B843" s="85"/>
      <c r="C843" s="90" t="s">
        <v>5995</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5766</v>
      </c>
      <c r="D845" s="90"/>
      <c r="E845" s="90"/>
      <c r="F845" s="85"/>
      <c r="G845" s="20">
        <f>G844*2%</f>
        <v>1218.83</v>
      </c>
    </row>
    <row r="846" spans="1:7" ht="20.25" customHeight="1">
      <c r="A846" s="85"/>
      <c r="B846" s="85"/>
      <c r="C846" s="90" t="s">
        <v>5767</v>
      </c>
      <c r="D846" s="90"/>
      <c r="E846" s="90"/>
      <c r="F846" s="85"/>
      <c r="G846" s="20">
        <f>SUM(G844:G845)</f>
        <v>62160.27</v>
      </c>
    </row>
    <row r="847" spans="1:7" ht="20.25" customHeight="1">
      <c r="A847" s="85"/>
      <c r="B847" s="85"/>
      <c r="C847" s="90" t="s">
        <v>5996</v>
      </c>
      <c r="D847" s="230" t="s">
        <v>2251</v>
      </c>
      <c r="E847" s="90"/>
      <c r="F847" s="85"/>
      <c r="G847" s="20"/>
    </row>
    <row r="848" spans="1:7" ht="20.25" customHeight="1">
      <c r="A848" s="85"/>
      <c r="B848" s="85"/>
      <c r="C848" s="90" t="s">
        <v>5768</v>
      </c>
      <c r="D848" s="90"/>
      <c r="E848" s="90"/>
      <c r="F848" s="85"/>
      <c r="G848" s="20">
        <v>1000</v>
      </c>
    </row>
    <row r="849" spans="1:7" ht="20.25" customHeight="1">
      <c r="A849" s="85"/>
      <c r="B849" s="85"/>
      <c r="C849" s="90" t="s">
        <v>5769</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6000</v>
      </c>
      <c r="D855" s="225"/>
      <c r="E855" s="1146" t="s">
        <v>6001</v>
      </c>
      <c r="F855" s="1146"/>
      <c r="G855" s="1146"/>
    </row>
    <row r="856" spans="1:7" ht="20.25" customHeight="1">
      <c r="A856" s="85"/>
      <c r="B856" s="85"/>
      <c r="C856" s="226" t="s">
        <v>5736</v>
      </c>
      <c r="D856" s="226"/>
      <c r="E856" s="85"/>
      <c r="F856" s="85"/>
      <c r="G856" s="85"/>
    </row>
    <row r="857" spans="1:7" ht="20.25" customHeight="1">
      <c r="A857" s="85"/>
      <c r="B857" s="85"/>
      <c r="C857" s="85" t="s">
        <v>5737</v>
      </c>
      <c r="D857" s="85"/>
      <c r="E857" s="85"/>
      <c r="F857" s="85"/>
      <c r="G857" s="85"/>
    </row>
    <row r="858" spans="1:7" ht="20.25" customHeight="1">
      <c r="A858" s="85"/>
      <c r="B858" s="85"/>
      <c r="C858" s="85" t="s">
        <v>5738</v>
      </c>
      <c r="D858" s="85"/>
      <c r="E858" s="85" t="s">
        <v>5739</v>
      </c>
      <c r="F858" s="85"/>
      <c r="G858" s="85"/>
    </row>
    <row r="859" spans="1:7" ht="20.25" customHeight="1">
      <c r="A859" s="85"/>
      <c r="B859" s="85"/>
      <c r="C859" s="85" t="s">
        <v>5740</v>
      </c>
      <c r="D859" s="85"/>
      <c r="E859" s="85" t="s">
        <v>5741</v>
      </c>
      <c r="F859" s="85"/>
      <c r="G859" s="85"/>
    </row>
    <row r="860" spans="1:7" ht="20.25" customHeight="1">
      <c r="A860" s="85"/>
      <c r="B860" s="85"/>
      <c r="C860" s="85" t="s">
        <v>5742</v>
      </c>
      <c r="D860" s="85"/>
      <c r="E860" s="85" t="s">
        <v>5743</v>
      </c>
      <c r="F860" s="85"/>
      <c r="G860" s="85"/>
    </row>
    <row r="861" spans="1:7" ht="20.25" customHeight="1">
      <c r="A861" s="85"/>
      <c r="B861" s="85"/>
      <c r="C861" s="85" t="s">
        <v>5744</v>
      </c>
      <c r="D861" s="85"/>
      <c r="E861" s="85" t="s">
        <v>5745</v>
      </c>
      <c r="F861" s="85"/>
      <c r="G861" s="85"/>
    </row>
    <row r="862" spans="1:7" ht="20.25" customHeight="1">
      <c r="A862" s="85"/>
      <c r="B862" s="85"/>
      <c r="C862" s="85" t="s">
        <v>5746</v>
      </c>
      <c r="D862" s="85"/>
      <c r="E862" s="85" t="s">
        <v>5747</v>
      </c>
      <c r="F862" s="85"/>
      <c r="G862" s="85"/>
    </row>
    <row r="863" spans="1:7" ht="20.25" customHeight="1">
      <c r="A863" s="85"/>
      <c r="B863" s="85"/>
      <c r="C863" s="85" t="s">
        <v>2245</v>
      </c>
      <c r="D863" s="85"/>
      <c r="E863" s="85" t="s">
        <v>5748</v>
      </c>
      <c r="F863" s="85"/>
      <c r="G863" s="85"/>
    </row>
    <row r="864" spans="1:7" ht="20.25" customHeight="1">
      <c r="A864" s="85"/>
      <c r="B864" s="85"/>
      <c r="C864" s="237" t="s">
        <v>5749</v>
      </c>
      <c r="D864" s="85"/>
      <c r="E864" s="85" t="s">
        <v>5750</v>
      </c>
      <c r="F864" s="85"/>
      <c r="G864" s="85"/>
    </row>
    <row r="865" spans="1:7" ht="20.25" customHeight="1">
      <c r="A865" s="85"/>
      <c r="B865" s="85"/>
      <c r="C865" s="237"/>
      <c r="D865" s="86"/>
      <c r="E865" s="85" t="s">
        <v>5751</v>
      </c>
      <c r="F865" s="85"/>
      <c r="G865" s="85"/>
    </row>
    <row r="866" spans="1:7" ht="20.25" customHeight="1">
      <c r="A866" s="85"/>
      <c r="B866" s="85"/>
      <c r="C866" s="85" t="s">
        <v>5752</v>
      </c>
      <c r="D866" s="85"/>
      <c r="E866" s="85" t="s">
        <v>5753</v>
      </c>
      <c r="F866" s="85"/>
      <c r="G866" s="85"/>
    </row>
    <row r="867" spans="1:7" ht="20.25" customHeight="1">
      <c r="A867" s="85">
        <v>146.25</v>
      </c>
      <c r="B867" s="215" t="s">
        <v>1645</v>
      </c>
      <c r="C867" s="90" t="s">
        <v>5988</v>
      </c>
      <c r="D867" s="90"/>
      <c r="E867" s="227">
        <f>E812</f>
        <v>57.6</v>
      </c>
      <c r="F867" s="215" t="s">
        <v>1645</v>
      </c>
      <c r="G867" s="20">
        <f>E867*A867</f>
        <v>8424</v>
      </c>
    </row>
    <row r="868" spans="1:7" ht="20.25" customHeight="1">
      <c r="A868" s="85">
        <v>7.88</v>
      </c>
      <c r="B868" s="215" t="s">
        <v>1645</v>
      </c>
      <c r="C868" s="90" t="s">
        <v>5989</v>
      </c>
      <c r="D868" s="90"/>
      <c r="E868" s="227">
        <f>E813</f>
        <v>562</v>
      </c>
      <c r="F868" s="215" t="s">
        <v>1645</v>
      </c>
      <c r="G868" s="85">
        <f>A868*E868</f>
        <v>4428.5600000000004</v>
      </c>
    </row>
    <row r="869" spans="1:7" ht="20.25" customHeight="1">
      <c r="A869" s="85">
        <v>7.88</v>
      </c>
      <c r="B869" s="215" t="s">
        <v>1645</v>
      </c>
      <c r="C869" s="90" t="s">
        <v>5990</v>
      </c>
      <c r="D869" s="90"/>
      <c r="E869" s="227">
        <f>E814</f>
        <v>10</v>
      </c>
      <c r="F869" s="215" t="s">
        <v>1645</v>
      </c>
      <c r="G869" s="20">
        <f>A869*E869</f>
        <v>78.8</v>
      </c>
    </row>
    <row r="870" spans="1:7" ht="20.25" customHeight="1">
      <c r="A870" s="85"/>
      <c r="B870" s="215"/>
      <c r="C870" s="90" t="s">
        <v>5754</v>
      </c>
      <c r="D870" s="90"/>
      <c r="E870" s="227"/>
      <c r="F870" s="215"/>
      <c r="G870" s="85"/>
    </row>
    <row r="871" spans="1:7" ht="20.25" customHeight="1">
      <c r="A871" s="85"/>
      <c r="B871" s="215"/>
      <c r="C871" s="90" t="s">
        <v>5755</v>
      </c>
      <c r="D871" s="90"/>
      <c r="E871" s="227"/>
      <c r="F871" s="215"/>
      <c r="G871" s="85"/>
    </row>
    <row r="872" spans="1:7" ht="20.25" customHeight="1">
      <c r="A872" s="85"/>
      <c r="B872" s="215"/>
      <c r="C872" s="90" t="s">
        <v>5756</v>
      </c>
      <c r="D872" s="90"/>
      <c r="E872" s="227"/>
      <c r="F872" s="215"/>
      <c r="G872" s="85"/>
    </row>
    <row r="873" spans="1:7" ht="20.25" customHeight="1">
      <c r="A873" s="85"/>
      <c r="B873" s="215"/>
      <c r="C873" s="90" t="s">
        <v>5757</v>
      </c>
      <c r="D873" s="90"/>
      <c r="E873" s="227"/>
      <c r="F873" s="215"/>
      <c r="G873" s="85"/>
    </row>
    <row r="874" spans="1:7" ht="20.25" customHeight="1">
      <c r="A874" s="20">
        <v>8</v>
      </c>
      <c r="B874" s="215" t="s">
        <v>1645</v>
      </c>
      <c r="C874" s="90" t="s">
        <v>6002</v>
      </c>
      <c r="D874" s="90"/>
      <c r="E874" s="229">
        <f>E819</f>
        <v>115</v>
      </c>
      <c r="F874" s="215" t="s">
        <v>1645</v>
      </c>
      <c r="G874" s="20">
        <f t="shared" ref="G874:G885" si="32">A874*E874</f>
        <v>920</v>
      </c>
    </row>
    <row r="875" spans="1:7" ht="20.25" customHeight="1">
      <c r="A875" s="20">
        <v>18.8</v>
      </c>
      <c r="B875" s="215" t="s">
        <v>913</v>
      </c>
      <c r="C875" s="90" t="s">
        <v>5991</v>
      </c>
      <c r="D875" s="90"/>
      <c r="E875" s="229">
        <f>E820</f>
        <v>57.6</v>
      </c>
      <c r="F875" s="215" t="s">
        <v>913</v>
      </c>
      <c r="G875" s="20">
        <f>A875*E875</f>
        <v>1082.8800000000001</v>
      </c>
    </row>
    <row r="876" spans="1:7" ht="20.25" customHeight="1">
      <c r="A876" s="85"/>
      <c r="B876" s="215"/>
      <c r="C876" s="90" t="s">
        <v>5758</v>
      </c>
      <c r="D876" s="90"/>
      <c r="E876" s="229">
        <f>E821</f>
        <v>0</v>
      </c>
      <c r="F876" s="215"/>
      <c r="G876" s="20"/>
    </row>
    <row r="877" spans="1:7" ht="20.25" customHeight="1">
      <c r="A877" s="20">
        <v>3</v>
      </c>
      <c r="B877" s="215" t="s">
        <v>1432</v>
      </c>
      <c r="C877" s="90" t="s">
        <v>6003</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4191</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5992</v>
      </c>
      <c r="C888" s="90" t="str">
        <f t="shared" si="33"/>
        <v>Cost of hylum sheet 6mm [SR 2022-23 / P.129]</v>
      </c>
      <c r="D888" s="90"/>
      <c r="E888" s="229">
        <f t="shared" si="34"/>
        <v>1322</v>
      </c>
      <c r="F888" s="215" t="s">
        <v>5992</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5993</v>
      </c>
      <c r="C891" s="235" t="str">
        <f t="shared" si="33"/>
        <v>1 sqmm PVC copper cable [SR 2022-23 / P.125]</v>
      </c>
      <c r="D891" s="235"/>
      <c r="E891" s="242">
        <f t="shared" si="34"/>
        <v>10.45</v>
      </c>
      <c r="F891" s="240" t="s">
        <v>5993</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5763</v>
      </c>
      <c r="C894" s="235" t="str">
        <f t="shared" si="33"/>
        <v>Painting with primer &amp; suitable colour( qtn)</v>
      </c>
      <c r="D894" s="235"/>
      <c r="E894" s="242">
        <f t="shared" si="34"/>
        <v>10</v>
      </c>
      <c r="F894" s="240" t="s">
        <v>4200</v>
      </c>
      <c r="G894" s="239">
        <f t="shared" si="35"/>
        <v>2272.8000000000002</v>
      </c>
    </row>
    <row r="895" spans="1:7" ht="20.25" customHeight="1">
      <c r="A895" s="239">
        <v>50</v>
      </c>
      <c r="B895" s="245" t="s">
        <v>5761</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5765</v>
      </c>
      <c r="D896" s="235"/>
      <c r="E896" s="247"/>
      <c r="F896" s="246"/>
      <c r="G896" s="239"/>
    </row>
    <row r="897" spans="1:7" ht="20.25" customHeight="1">
      <c r="A897" s="239"/>
      <c r="B897" s="246"/>
      <c r="C897" s="235" t="s">
        <v>6004</v>
      </c>
      <c r="D897" s="235"/>
      <c r="E897" s="247"/>
      <c r="F897" s="246"/>
      <c r="G897" s="239"/>
    </row>
    <row r="898" spans="1:7" ht="20.25" customHeight="1">
      <c r="A898" s="239"/>
      <c r="B898" s="246"/>
      <c r="C898" s="235" t="s">
        <v>5995</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5766</v>
      </c>
      <c r="D900" s="235"/>
      <c r="E900" s="235"/>
      <c r="F900" s="246"/>
      <c r="G900" s="239">
        <f>G899*2%</f>
        <v>980.26</v>
      </c>
    </row>
    <row r="901" spans="1:7" ht="20.25" customHeight="1">
      <c r="A901" s="85"/>
      <c r="B901" s="85"/>
      <c r="C901" s="90" t="s">
        <v>5767</v>
      </c>
      <c r="D901" s="90"/>
      <c r="E901" s="90"/>
      <c r="F901" s="85"/>
      <c r="G901" s="20">
        <f>SUM(G899:G900)</f>
        <v>49993.18</v>
      </c>
    </row>
    <row r="902" spans="1:7" ht="20.25" customHeight="1">
      <c r="A902" s="85"/>
      <c r="B902" s="85"/>
      <c r="C902" s="90" t="s">
        <v>5996</v>
      </c>
      <c r="D902" s="230" t="s">
        <v>2251</v>
      </c>
      <c r="E902" s="90"/>
      <c r="F902" s="85"/>
      <c r="G902" s="20"/>
    </row>
    <row r="903" spans="1:7" ht="20.25" customHeight="1">
      <c r="A903" s="85"/>
      <c r="B903" s="85"/>
      <c r="C903" s="90" t="s">
        <v>5768</v>
      </c>
      <c r="D903" s="90"/>
      <c r="E903" s="90"/>
      <c r="F903" s="85"/>
      <c r="G903" s="85">
        <v>1000</v>
      </c>
    </row>
    <row r="904" spans="1:7" ht="20.25" customHeight="1">
      <c r="A904" s="85"/>
      <c r="B904" s="85"/>
      <c r="C904" s="90" t="s">
        <v>5769</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132" t="s">
        <v>3985</v>
      </c>
      <c r="B1" s="1132"/>
      <c r="C1" s="1132"/>
      <c r="D1" s="1132"/>
      <c r="E1" s="1132"/>
      <c r="F1" s="1132"/>
    </row>
    <row r="2" spans="1:7" ht="17.25">
      <c r="A2" s="1132" t="s">
        <v>3984</v>
      </c>
      <c r="B2" s="1132"/>
      <c r="C2" s="1132"/>
      <c r="D2" s="1132"/>
      <c r="E2" s="1132"/>
      <c r="F2" s="1132"/>
    </row>
    <row r="3" spans="1:7" ht="31.5" customHeight="1">
      <c r="A3" s="1133" t="s">
        <v>4140</v>
      </c>
      <c r="B3" s="1133"/>
      <c r="C3" s="1133"/>
      <c r="D3" s="1133"/>
      <c r="E3" s="1133"/>
      <c r="F3" s="1133"/>
    </row>
    <row r="4" spans="1:7" ht="17.25">
      <c r="A4" s="1134" t="s">
        <v>4627</v>
      </c>
      <c r="B4" s="1134"/>
      <c r="C4" s="1134"/>
      <c r="D4" s="1134"/>
      <c r="E4" s="1134"/>
      <c r="F4" s="66"/>
    </row>
    <row r="5" spans="1:7" ht="6" customHeight="1">
      <c r="A5" s="66"/>
      <c r="B5" s="66"/>
      <c r="C5" s="66"/>
      <c r="D5" s="66"/>
      <c r="E5" s="66"/>
      <c r="F5" s="66"/>
    </row>
    <row r="6" spans="1:7" ht="45.75" customHeight="1">
      <c r="B6" s="84"/>
      <c r="C6" s="1135" t="s">
        <v>4629</v>
      </c>
      <c r="D6" s="1135"/>
      <c r="E6" s="1135"/>
      <c r="F6" s="84"/>
      <c r="G6" s="2" t="s">
        <v>2151</v>
      </c>
    </row>
    <row r="7" spans="1:7" ht="24" customHeight="1">
      <c r="A7" s="83"/>
      <c r="B7" s="1136" t="s">
        <v>4628</v>
      </c>
      <c r="C7" s="1136"/>
      <c r="D7" s="1136"/>
      <c r="E7" s="1136"/>
      <c r="F7" s="1136"/>
      <c r="G7" s="5">
        <f>3.14/4*0.5*0.5*8</f>
        <v>1.57</v>
      </c>
    </row>
    <row r="8" spans="1:7" ht="28.5" customHeight="1">
      <c r="A8" s="75"/>
      <c r="B8" s="75"/>
      <c r="C8" s="82" t="s">
        <v>3982</v>
      </c>
      <c r="D8" s="75"/>
      <c r="E8" s="75"/>
      <c r="F8" s="75"/>
    </row>
    <row r="9" spans="1:7" ht="30.75" customHeight="1">
      <c r="A9" s="77">
        <f>G7</f>
        <v>1.57</v>
      </c>
      <c r="B9" s="75" t="s">
        <v>2151</v>
      </c>
      <c r="C9" s="75" t="s">
        <v>4012</v>
      </c>
      <c r="D9" s="66"/>
      <c r="E9" s="76">
        <f>Data!Y688</f>
        <v>8461.35</v>
      </c>
      <c r="F9" s="76">
        <f>A9*E9</f>
        <v>13284.32</v>
      </c>
    </row>
    <row r="10" spans="1:7" ht="30.75" customHeight="1">
      <c r="A10" s="81">
        <f>A9*10/100</f>
        <v>0.157</v>
      </c>
      <c r="B10" s="75" t="s">
        <v>528</v>
      </c>
      <c r="C10" s="75" t="s">
        <v>5641</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21914.17</v>
      </c>
    </row>
    <row r="14" spans="1:7" ht="21" customHeight="1">
      <c r="A14" s="75"/>
      <c r="B14" s="75"/>
      <c r="C14" s="75" t="s">
        <v>1639</v>
      </c>
      <c r="D14" s="66"/>
      <c r="E14" s="75"/>
      <c r="F14" s="76">
        <f>F13/7</f>
        <v>3130.6</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3255.6</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37" t="s">
        <v>3976</v>
      </c>
      <c r="D21" s="1137"/>
      <c r="E21" s="1137"/>
      <c r="F21" s="80"/>
    </row>
    <row r="22" spans="1:13" ht="30.75" customHeight="1">
      <c r="A22" s="79"/>
      <c r="B22" s="1136" t="s">
        <v>4630</v>
      </c>
      <c r="C22" s="1136"/>
      <c r="D22" s="1136"/>
      <c r="E22" s="1136"/>
      <c r="F22" s="1136"/>
      <c r="G22" s="5">
        <v>0.442</v>
      </c>
    </row>
    <row r="23" spans="1:13" ht="30.75" customHeight="1">
      <c r="A23" s="75"/>
      <c r="B23" s="75"/>
      <c r="C23" s="78" t="s">
        <v>3974</v>
      </c>
      <c r="D23" s="75"/>
      <c r="E23" s="75"/>
      <c r="F23" s="75"/>
    </row>
    <row r="24" spans="1:13" ht="30.75" customHeight="1">
      <c r="A24" s="76">
        <f>G22</f>
        <v>0.44</v>
      </c>
      <c r="B24" s="75" t="s">
        <v>2151</v>
      </c>
      <c r="C24" s="75" t="s">
        <v>4305</v>
      </c>
      <c r="D24" s="66"/>
      <c r="E24" s="76">
        <f>5800*1.1</f>
        <v>6380</v>
      </c>
      <c r="F24" s="76">
        <f>A24*E24</f>
        <v>2807.2</v>
      </c>
    </row>
    <row r="25" spans="1:13" ht="42.75" customHeight="1">
      <c r="A25" s="76">
        <f>+A24</f>
        <v>0.44</v>
      </c>
      <c r="B25" s="75" t="s">
        <v>2151</v>
      </c>
      <c r="C25" s="1138" t="s">
        <v>4306</v>
      </c>
      <c r="D25" s="1138"/>
      <c r="E25" s="76">
        <f>11.13*5</f>
        <v>55.65</v>
      </c>
      <c r="F25" s="76">
        <f>E25*A25</f>
        <v>24.49</v>
      </c>
      <c r="G25" s="4" t="s">
        <v>5677</v>
      </c>
      <c r="I25">
        <f>8.69*0.125</f>
        <v>1.0900000000000001</v>
      </c>
    </row>
    <row r="26" spans="1:13" ht="36" customHeight="1">
      <c r="A26" s="76">
        <f>+A25</f>
        <v>0.44</v>
      </c>
      <c r="B26" s="75" t="s">
        <v>2151</v>
      </c>
      <c r="C26" s="75" t="s">
        <v>4307</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139" t="s">
        <v>3971</v>
      </c>
      <c r="D30" s="1139"/>
      <c r="E30" s="1139"/>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4308</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3992</v>
      </c>
    </row>
    <row r="41" spans="1:10" ht="24" customHeight="1">
      <c r="A41" s="5">
        <v>5</v>
      </c>
      <c r="B41" t="s">
        <v>1341</v>
      </c>
      <c r="C41" t="s">
        <v>3999</v>
      </c>
      <c r="D41">
        <f>Data!V705</f>
        <v>1807.94</v>
      </c>
      <c r="F41">
        <f>D41*A41</f>
        <v>9039.7000000000007</v>
      </c>
      <c r="H41">
        <f>F41</f>
        <v>9039.7000000000007</v>
      </c>
    </row>
    <row r="42" spans="1:10" ht="24" customHeight="1">
      <c r="A42" s="5">
        <v>3.3</v>
      </c>
      <c r="B42" t="s">
        <v>1341</v>
      </c>
      <c r="C42" t="s">
        <v>4000</v>
      </c>
      <c r="D42">
        <f>Data!V706</f>
        <v>1517.94</v>
      </c>
      <c r="F42">
        <f t="shared" ref="F42:F48" si="0">D42*A42</f>
        <v>5009.2</v>
      </c>
      <c r="H42">
        <f t="shared" ref="H42:H50" si="1">F42</f>
        <v>5009.2</v>
      </c>
    </row>
    <row r="43" spans="1:10" ht="24" customHeight="1">
      <c r="A43" s="5">
        <v>4.79</v>
      </c>
      <c r="B43" t="s">
        <v>1341</v>
      </c>
      <c r="C43" t="s">
        <v>4001</v>
      </c>
      <c r="D43">
        <f>Data!V707</f>
        <v>1741.58</v>
      </c>
      <c r="F43">
        <f t="shared" si="0"/>
        <v>8342.17</v>
      </c>
      <c r="H43">
        <f t="shared" si="1"/>
        <v>8342.17</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4002</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4003</v>
      </c>
      <c r="D49">
        <f>Data!V713</f>
        <v>0</v>
      </c>
      <c r="F49" s="11">
        <f>SUM(F41:F48)</f>
        <v>78776.87</v>
      </c>
      <c r="H49">
        <f t="shared" si="1"/>
        <v>78776.87</v>
      </c>
    </row>
    <row r="50" spans="1:8" ht="24" customHeight="1">
      <c r="A50" s="5"/>
      <c r="C50" t="s">
        <v>4004</v>
      </c>
      <c r="D50">
        <f>Data!V714</f>
        <v>0</v>
      </c>
      <c r="F50" s="11">
        <f>F49/10</f>
        <v>7877.69</v>
      </c>
      <c r="H50">
        <f t="shared" si="1"/>
        <v>7877.69</v>
      </c>
    </row>
    <row r="51" spans="1:8" ht="24" customHeight="1">
      <c r="A51" s="5">
        <v>1</v>
      </c>
      <c r="B51" t="s">
        <v>1341</v>
      </c>
      <c r="C51" t="s">
        <v>4030</v>
      </c>
      <c r="D51">
        <f>Data!V715</f>
        <v>94.2</v>
      </c>
      <c r="F51">
        <f>D51*A51</f>
        <v>94.2</v>
      </c>
    </row>
    <row r="52" spans="1:8" ht="24" customHeight="1">
      <c r="A52" s="5"/>
      <c r="C52" t="s">
        <v>4005</v>
      </c>
      <c r="D52">
        <f>Data!V716</f>
        <v>0</v>
      </c>
      <c r="F52" s="11">
        <f>SUM(F50:F51)</f>
        <v>7971.89</v>
      </c>
      <c r="H52">
        <f>H50</f>
        <v>7877.69</v>
      </c>
    </row>
    <row r="53" spans="1:8">
      <c r="A53" s="46" t="s">
        <v>657</v>
      </c>
      <c r="C53" t="s">
        <v>4006</v>
      </c>
      <c r="D53" t="str">
        <f>Data!V717</f>
        <v>LS</v>
      </c>
      <c r="F53">
        <f>F52*0.5%</f>
        <v>39.86</v>
      </c>
      <c r="H53">
        <f>H52*0.5/100</f>
        <v>39.39</v>
      </c>
    </row>
    <row r="54" spans="1:8">
      <c r="A54" s="5"/>
      <c r="C54" s="11" t="s">
        <v>3588</v>
      </c>
      <c r="E54" s="1"/>
      <c r="F54" s="11">
        <f>SUM(F52:F53)</f>
        <v>8011.75</v>
      </c>
      <c r="H54" s="11">
        <f>SUM(H52:H53)</f>
        <v>7917.08</v>
      </c>
    </row>
    <row r="55" spans="1:8">
      <c r="A55" s="5"/>
      <c r="E55" s="1"/>
      <c r="F55" s="3" t="s">
        <v>1586</v>
      </c>
    </row>
    <row r="56" spans="1:8">
      <c r="A56" s="5"/>
      <c r="C56" s="1" t="s">
        <v>386</v>
      </c>
      <c r="E56" s="1"/>
      <c r="F56" s="11">
        <f>F54+Data!C23</f>
        <v>8247.85</v>
      </c>
    </row>
    <row r="57" spans="1:8">
      <c r="A57" s="5"/>
      <c r="C57" s="1" t="s">
        <v>388</v>
      </c>
      <c r="E57" s="1"/>
      <c r="F57" s="93"/>
    </row>
    <row r="58" spans="1:8">
      <c r="A58" s="5"/>
      <c r="C58" s="1" t="s">
        <v>2232</v>
      </c>
      <c r="E58" s="1"/>
      <c r="F58" s="11">
        <f>F56+Data!C25</f>
        <v>8342.0499999999993</v>
      </c>
    </row>
    <row r="59" spans="1:8">
      <c r="A59" s="5"/>
      <c r="C59" s="1" t="s">
        <v>380</v>
      </c>
      <c r="E59" s="1"/>
      <c r="F59" s="11"/>
    </row>
    <row r="60" spans="1:8">
      <c r="A60" s="5"/>
      <c r="C60" s="1" t="s">
        <v>1532</v>
      </c>
      <c r="E60" s="1"/>
      <c r="F60" s="11">
        <f>F58+Data!C27</f>
        <v>8376.25</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32" t="s">
        <v>3985</v>
      </c>
      <c r="B65" s="1132"/>
      <c r="C65" s="1132"/>
      <c r="D65" s="1132"/>
      <c r="E65" s="1132"/>
      <c r="F65" s="1132"/>
    </row>
    <row r="66" spans="1:7" ht="17.25">
      <c r="A66" s="1132" t="s">
        <v>3984</v>
      </c>
      <c r="B66" s="1132"/>
      <c r="C66" s="1132"/>
      <c r="D66" s="1132"/>
      <c r="E66" s="1132"/>
      <c r="F66" s="1132"/>
    </row>
    <row r="67" spans="1:7" ht="17.25">
      <c r="A67" s="1133" t="s">
        <v>4140</v>
      </c>
      <c r="B67" s="1133"/>
      <c r="C67" s="1133"/>
      <c r="D67" s="1133"/>
      <c r="E67" s="1133"/>
      <c r="F67" s="1133"/>
    </row>
    <row r="68" spans="1:7" ht="17.25">
      <c r="A68" s="1134" t="s">
        <v>3983</v>
      </c>
      <c r="B68" s="1134"/>
      <c r="C68" s="1134"/>
      <c r="D68" s="1134"/>
      <c r="E68" s="1134"/>
      <c r="F68" s="66"/>
    </row>
    <row r="69" spans="1:7" ht="17.25">
      <c r="A69" s="66"/>
      <c r="B69" s="66"/>
      <c r="C69" s="66"/>
      <c r="D69" s="66"/>
      <c r="E69" s="66"/>
      <c r="F69" s="66"/>
    </row>
    <row r="70" spans="1:7" ht="19.5">
      <c r="B70" s="84"/>
      <c r="C70" s="1135" t="s">
        <v>4141</v>
      </c>
      <c r="D70" s="1135"/>
      <c r="E70" s="1135"/>
      <c r="F70" s="84"/>
      <c r="G70" s="2" t="s">
        <v>2151</v>
      </c>
    </row>
    <row r="71" spans="1:7" ht="20.25">
      <c r="A71" s="83"/>
      <c r="B71" s="1136" t="s">
        <v>4631</v>
      </c>
      <c r="C71" s="1136"/>
      <c r="D71" s="1136"/>
      <c r="E71" s="1136"/>
      <c r="F71" s="1136"/>
      <c r="G71" s="5">
        <v>2.2599999999999998</v>
      </c>
    </row>
    <row r="72" spans="1:7" ht="31.5" customHeight="1">
      <c r="A72" s="75"/>
      <c r="B72" s="75"/>
      <c r="C72" s="112" t="s">
        <v>4632</v>
      </c>
      <c r="D72" s="75"/>
      <c r="E72" s="75"/>
      <c r="F72" s="75"/>
    </row>
    <row r="73" spans="1:7" ht="36.75" customHeight="1">
      <c r="A73" s="77">
        <f>G71</f>
        <v>2.2599999999999998</v>
      </c>
      <c r="B73" s="75" t="s">
        <v>2151</v>
      </c>
      <c r="C73" s="75" t="s">
        <v>4324</v>
      </c>
      <c r="D73" s="66"/>
      <c r="E73" s="76">
        <f>E9</f>
        <v>8461.35</v>
      </c>
      <c r="F73" s="76">
        <f>A73*E73</f>
        <v>19122.650000000001</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27706.65</v>
      </c>
    </row>
    <row r="78" spans="1:7" ht="17.25">
      <c r="A78" s="75"/>
      <c r="B78" s="75"/>
      <c r="C78" s="75" t="s">
        <v>1639</v>
      </c>
      <c r="D78" s="66"/>
      <c r="E78" s="75"/>
      <c r="F78" s="76">
        <f>F77/7</f>
        <v>3958.09</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4083.09</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37" t="s">
        <v>3976</v>
      </c>
      <c r="D85" s="1137"/>
      <c r="E85" s="1137"/>
      <c r="F85" s="80"/>
      <c r="G85" s="11"/>
    </row>
    <row r="86" spans="1:7" ht="20.25">
      <c r="A86" s="79"/>
      <c r="B86" s="1136" t="s">
        <v>4633</v>
      </c>
      <c r="C86" s="1136"/>
      <c r="D86" s="1136"/>
      <c r="E86" s="1136"/>
      <c r="F86" s="1136"/>
      <c r="G86">
        <f>3.14*0.6*0.6/4</f>
        <v>0.28000000000000003</v>
      </c>
    </row>
    <row r="87" spans="1:7" ht="39.75" customHeight="1">
      <c r="A87" s="75"/>
      <c r="B87" s="75"/>
      <c r="C87" s="78" t="s">
        <v>3974</v>
      </c>
      <c r="D87" s="75"/>
      <c r="E87" s="75"/>
      <c r="F87" s="75"/>
    </row>
    <row r="88" spans="1:7" ht="17.25">
      <c r="A88" s="77">
        <f>G86</f>
        <v>0.28000000000000003</v>
      </c>
      <c r="B88" s="75" t="s">
        <v>2151</v>
      </c>
      <c r="C88" s="75" t="s">
        <v>4325</v>
      </c>
      <c r="D88" s="66"/>
      <c r="E88" s="76">
        <f>E24</f>
        <v>6380</v>
      </c>
      <c r="F88" s="76">
        <f>A88*E88</f>
        <v>1786.4</v>
      </c>
    </row>
    <row r="89" spans="1:7" ht="17.25">
      <c r="A89" s="77">
        <f>+A88</f>
        <v>0.28000000000000003</v>
      </c>
      <c r="B89" s="75" t="s">
        <v>2151</v>
      </c>
      <c r="C89" s="1138" t="s">
        <v>4306</v>
      </c>
      <c r="D89" s="1138"/>
      <c r="E89" s="76">
        <f>E25</f>
        <v>55.65</v>
      </c>
      <c r="F89" s="76">
        <f>E89*A89</f>
        <v>15.58</v>
      </c>
    </row>
    <row r="90" spans="1:7" ht="17.25">
      <c r="A90" s="77">
        <f>+A89</f>
        <v>0.28000000000000003</v>
      </c>
      <c r="B90" s="75" t="s">
        <v>2151</v>
      </c>
      <c r="C90" s="75" t="s">
        <v>4307</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139" t="s">
        <v>3971</v>
      </c>
      <c r="D94" s="1139"/>
      <c r="E94" s="1139"/>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1807.94</v>
      </c>
      <c r="F104">
        <f>D104*A104</f>
        <v>9039.7000000000007</v>
      </c>
    </row>
    <row r="105" spans="1:7" ht="30" hidden="1" customHeight="1">
      <c r="A105" s="5">
        <v>3.3</v>
      </c>
      <c r="B105" t="s">
        <v>1341</v>
      </c>
      <c r="C105" t="s">
        <v>4000</v>
      </c>
      <c r="D105">
        <f t="shared" ref="D105:D116" si="2">D42</f>
        <v>1517.94</v>
      </c>
      <c r="F105">
        <f t="shared" ref="F105:F111" si="3">D105*A105</f>
        <v>5009.2</v>
      </c>
    </row>
    <row r="106" spans="1:7" ht="30" hidden="1" customHeight="1">
      <c r="A106" s="5">
        <v>4.79</v>
      </c>
      <c r="B106" t="s">
        <v>1341</v>
      </c>
      <c r="C106" t="s">
        <v>4001</v>
      </c>
      <c r="D106">
        <f t="shared" si="2"/>
        <v>1741.58</v>
      </c>
      <c r="F106">
        <f t="shared" si="3"/>
        <v>8342.17</v>
      </c>
    </row>
    <row r="107" spans="1:7" ht="30" hidden="1" customHeight="1">
      <c r="A107" s="5">
        <v>4</v>
      </c>
      <c r="B107" t="s">
        <v>528</v>
      </c>
      <c r="C107" t="s">
        <v>390</v>
      </c>
      <c r="D107">
        <f t="shared" si="2"/>
        <v>6040</v>
      </c>
      <c r="F107">
        <f t="shared" si="3"/>
        <v>24160</v>
      </c>
    </row>
    <row r="108" spans="1:7" ht="30" hidden="1" customHeight="1">
      <c r="A108" s="5">
        <v>40</v>
      </c>
      <c r="B108" t="s">
        <v>1645</v>
      </c>
      <c r="C108" t="s">
        <v>4008</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4003</v>
      </c>
      <c r="D112">
        <f t="shared" si="2"/>
        <v>0</v>
      </c>
      <c r="F112" s="11">
        <f>SUM(F104:F111)</f>
        <v>84192.47</v>
      </c>
    </row>
    <row r="113" spans="1:7" ht="30" hidden="1" customHeight="1">
      <c r="A113" s="5"/>
      <c r="C113" s="11" t="s">
        <v>4004</v>
      </c>
      <c r="D113">
        <f t="shared" si="2"/>
        <v>0</v>
      </c>
      <c r="F113" s="11">
        <f>F112/10</f>
        <v>8419.25</v>
      </c>
      <c r="G113">
        <f>F113</f>
        <v>8419.25</v>
      </c>
    </row>
    <row r="114" spans="1:7" ht="30" hidden="1" customHeight="1">
      <c r="A114" s="5">
        <v>1</v>
      </c>
      <c r="B114" t="s">
        <v>1341</v>
      </c>
      <c r="C114" t="s">
        <v>3465</v>
      </c>
      <c r="D114">
        <f t="shared" si="2"/>
        <v>94.2</v>
      </c>
      <c r="F114">
        <f>D114</f>
        <v>94.2</v>
      </c>
    </row>
    <row r="115" spans="1:7" ht="30" hidden="1" customHeight="1">
      <c r="A115" s="5"/>
      <c r="C115" t="s">
        <v>4005</v>
      </c>
      <c r="D115">
        <f t="shared" si="2"/>
        <v>0</v>
      </c>
      <c r="F115" s="11">
        <f>SUM(F113:F114)</f>
        <v>8513.4500000000007</v>
      </c>
      <c r="G115">
        <f>SUM(G113:G114)</f>
        <v>8419.25</v>
      </c>
    </row>
    <row r="116" spans="1:7" ht="30" hidden="1" customHeight="1">
      <c r="A116" s="46" t="s">
        <v>657</v>
      </c>
      <c r="C116" t="s">
        <v>4006</v>
      </c>
      <c r="D116" t="str">
        <f t="shared" si="2"/>
        <v>LS</v>
      </c>
      <c r="F116">
        <f>F115*0.5%</f>
        <v>42.57</v>
      </c>
      <c r="G116">
        <f>G115*0.5/100</f>
        <v>42.1</v>
      </c>
    </row>
    <row r="117" spans="1:7" ht="30" hidden="1" customHeight="1">
      <c r="A117" s="5"/>
      <c r="C117" s="11" t="s">
        <v>3588</v>
      </c>
      <c r="E117" s="1"/>
      <c r="F117" s="11">
        <f>SUM(F115:F116)</f>
        <v>8556.02</v>
      </c>
      <c r="G117" s="11">
        <f>SUM(G115:G116)</f>
        <v>8461.35</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32" t="s">
        <v>3985</v>
      </c>
      <c r="B125" s="1132"/>
      <c r="C125" s="1132"/>
      <c r="D125" s="1132"/>
      <c r="E125" s="1132"/>
      <c r="F125" s="1132"/>
    </row>
    <row r="126" spans="1:7" ht="17.25">
      <c r="A126" s="1132" t="s">
        <v>3984</v>
      </c>
      <c r="B126" s="1132"/>
      <c r="C126" s="1132"/>
      <c r="D126" s="1132"/>
      <c r="E126" s="1132"/>
      <c r="F126" s="1132"/>
    </row>
    <row r="127" spans="1:7" ht="17.25">
      <c r="A127" s="1133" t="s">
        <v>4140</v>
      </c>
      <c r="B127" s="1133"/>
      <c r="C127" s="1133"/>
      <c r="D127" s="1133"/>
      <c r="E127" s="1133"/>
      <c r="F127" s="1133"/>
    </row>
    <row r="128" spans="1:7" ht="17.25">
      <c r="A128" s="1134" t="s">
        <v>3983</v>
      </c>
      <c r="B128" s="1134"/>
      <c r="C128" s="1134"/>
      <c r="D128" s="1134"/>
      <c r="E128" s="1134"/>
      <c r="F128" s="66"/>
    </row>
    <row r="129" spans="1:7" ht="17.25">
      <c r="A129" s="66"/>
      <c r="B129" s="66"/>
      <c r="C129" s="66"/>
      <c r="D129" s="66"/>
      <c r="E129" s="66"/>
      <c r="F129" s="66"/>
    </row>
    <row r="130" spans="1:7" ht="19.5">
      <c r="B130" s="84"/>
      <c r="C130" s="1135" t="s">
        <v>4144</v>
      </c>
      <c r="D130" s="1135"/>
      <c r="E130" s="1135"/>
      <c r="F130" s="84"/>
      <c r="G130" s="2" t="s">
        <v>2151</v>
      </c>
    </row>
    <row r="131" spans="1:7" ht="20.25">
      <c r="A131" s="83"/>
      <c r="B131" s="1136" t="s">
        <v>4145</v>
      </c>
      <c r="C131" s="1136"/>
      <c r="D131" s="1136"/>
      <c r="E131" s="1136"/>
      <c r="F131" s="1136"/>
      <c r="G131" s="5">
        <f>3.14*0.4*0.4*8/4</f>
        <v>1.0049999999999999</v>
      </c>
    </row>
    <row r="132" spans="1:7" ht="34.5" customHeight="1">
      <c r="A132" s="75"/>
      <c r="B132" s="75"/>
      <c r="C132" s="111" t="s">
        <v>4148</v>
      </c>
      <c r="D132" s="75"/>
      <c r="E132" s="75"/>
      <c r="F132" s="75"/>
    </row>
    <row r="133" spans="1:7" ht="17.25">
      <c r="A133" s="77">
        <f>G131</f>
        <v>1.0049999999999999</v>
      </c>
      <c r="B133" s="75" t="s">
        <v>2151</v>
      </c>
      <c r="C133" s="75" t="s">
        <v>3981</v>
      </c>
      <c r="D133" s="66"/>
      <c r="E133" s="76">
        <f>E73</f>
        <v>8461.35</v>
      </c>
      <c r="F133" s="76">
        <f>A133*E133</f>
        <v>8503.66</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16585.66</v>
      </c>
    </row>
    <row r="138" spans="1:7" ht="17.25">
      <c r="A138" s="75"/>
      <c r="B138" s="75"/>
      <c r="C138" s="75" t="s">
        <v>1639</v>
      </c>
      <c r="D138" s="66"/>
      <c r="E138" s="75"/>
      <c r="F138" s="76">
        <f>F137/7</f>
        <v>2369.38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2494.38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37" t="s">
        <v>3976</v>
      </c>
      <c r="D145" s="1137"/>
      <c r="E145" s="1137"/>
      <c r="F145" s="80"/>
      <c r="G145" s="11"/>
    </row>
    <row r="146" spans="1:7" ht="20.25">
      <c r="A146" s="79"/>
      <c r="B146" s="1136" t="s">
        <v>4146</v>
      </c>
      <c r="C146" s="1136"/>
      <c r="D146" s="1136"/>
      <c r="E146" s="1136"/>
      <c r="F146" s="1136"/>
      <c r="G146" s="5">
        <f>3.14*0.4*0.4/4</f>
        <v>0.126</v>
      </c>
    </row>
    <row r="147" spans="1:7" ht="17.25">
      <c r="A147" s="75"/>
      <c r="B147" s="75"/>
      <c r="C147" s="78" t="s">
        <v>4149</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38" t="s">
        <v>3972</v>
      </c>
      <c r="D149" s="1138"/>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139" t="s">
        <v>3971</v>
      </c>
      <c r="D154" s="1139"/>
      <c r="E154" s="1139"/>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132" t="s">
        <v>3985</v>
      </c>
      <c r="B165" s="1132"/>
      <c r="C165" s="1132"/>
      <c r="D165" s="1132"/>
      <c r="E165" s="1132"/>
      <c r="F165" s="1132"/>
    </row>
    <row r="166" spans="1:7" ht="17.25">
      <c r="A166" s="1132"/>
      <c r="B166" s="1132"/>
      <c r="C166" s="1132"/>
      <c r="D166" s="1132"/>
      <c r="E166" s="1132"/>
      <c r="F166" s="1132"/>
    </row>
    <row r="167" spans="1:7" ht="17.25">
      <c r="A167" s="1133" t="s">
        <v>4140</v>
      </c>
      <c r="B167" s="1133"/>
      <c r="C167" s="1133"/>
      <c r="D167" s="1133"/>
      <c r="E167" s="1133"/>
      <c r="F167" s="1133"/>
    </row>
    <row r="168" spans="1:7" ht="17.25">
      <c r="A168" s="1134" t="s">
        <v>3983</v>
      </c>
      <c r="B168" s="1134"/>
      <c r="C168" s="1134"/>
      <c r="D168" s="1134"/>
      <c r="E168" s="1134"/>
      <c r="F168" s="66"/>
    </row>
    <row r="169" spans="1:7" ht="17.25">
      <c r="A169" s="66"/>
      <c r="B169" s="66"/>
      <c r="C169" s="66"/>
      <c r="D169" s="66"/>
      <c r="E169" s="66"/>
      <c r="F169" s="66"/>
    </row>
    <row r="170" spans="1:7" ht="19.5">
      <c r="B170" s="84"/>
      <c r="C170" s="1135" t="s">
        <v>4144</v>
      </c>
      <c r="D170" s="1135"/>
      <c r="E170" s="1135"/>
      <c r="F170" s="84"/>
      <c r="G170" s="2" t="s">
        <v>2151</v>
      </c>
    </row>
    <row r="171" spans="1:7" ht="20.25">
      <c r="A171" s="83"/>
      <c r="B171" s="1136" t="s">
        <v>4142</v>
      </c>
      <c r="C171" s="1136"/>
      <c r="D171" s="1136"/>
      <c r="E171" s="1136"/>
      <c r="F171" s="1136"/>
      <c r="G171" s="5">
        <f>3.14*0.45*0.45*8/4</f>
        <v>1.272</v>
      </c>
    </row>
    <row r="172" spans="1:7" ht="17.25">
      <c r="A172" s="75"/>
      <c r="B172" s="75"/>
      <c r="C172" s="82" t="s">
        <v>4147</v>
      </c>
      <c r="D172" s="75"/>
      <c r="E172" s="75"/>
      <c r="F172" s="75"/>
    </row>
    <row r="173" spans="1:7" ht="17.25">
      <c r="A173" s="77">
        <f>G171</f>
        <v>1.272</v>
      </c>
      <c r="B173" s="75" t="s">
        <v>2151</v>
      </c>
      <c r="C173" s="75" t="str">
        <f>C9</f>
        <v>Standardised concrete  mix using M 30 Grade concrete in (F&amp;B)</v>
      </c>
      <c r="D173" s="66"/>
      <c r="E173" s="76">
        <f>E9</f>
        <v>8461.35</v>
      </c>
      <c r="F173" s="76">
        <f>A173*E173</f>
        <v>10762.84</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19212.400000000001</v>
      </c>
    </row>
    <row r="178" spans="1:7" ht="17.25">
      <c r="A178" s="75"/>
      <c r="B178" s="75"/>
      <c r="C178" s="75" t="s">
        <v>1639</v>
      </c>
      <c r="D178" s="66"/>
      <c r="E178" s="75"/>
      <c r="F178" s="76">
        <f>F177/7</f>
        <v>2744.63</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2869.63</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137" t="s">
        <v>3976</v>
      </c>
      <c r="D185" s="1137"/>
      <c r="E185" s="1137"/>
      <c r="F185" s="80"/>
      <c r="G185" s="11"/>
    </row>
    <row r="186" spans="1:7" ht="20.25">
      <c r="A186" s="79"/>
      <c r="B186" s="1136" t="s">
        <v>4143</v>
      </c>
      <c r="C186" s="1136"/>
      <c r="D186" s="1136"/>
      <c r="E186" s="1136"/>
      <c r="F186" s="1136"/>
      <c r="G186" s="5">
        <f>3.14*0.45*0.45/4</f>
        <v>0.159</v>
      </c>
    </row>
    <row r="187" spans="1:7" ht="17.25">
      <c r="A187" s="75"/>
      <c r="B187" s="75"/>
      <c r="C187" s="78" t="s">
        <v>5644</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138" t="s">
        <v>3972</v>
      </c>
      <c r="D189" s="1138"/>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139" t="s">
        <v>3971</v>
      </c>
      <c r="D194" s="1139"/>
      <c r="E194" s="1139"/>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132" t="s">
        <v>3985</v>
      </c>
      <c r="B203" s="1132"/>
      <c r="C203" s="1132"/>
      <c r="D203" s="1132"/>
      <c r="E203" s="1132"/>
      <c r="F203" s="1132"/>
    </row>
    <row r="204" spans="1:7" ht="17.25">
      <c r="A204" s="1132"/>
      <c r="B204" s="1132"/>
      <c r="C204" s="1132"/>
      <c r="D204" s="1132"/>
      <c r="E204" s="1132"/>
      <c r="F204" s="1132"/>
    </row>
    <row r="205" spans="1:7" ht="17.25">
      <c r="A205" s="1133" t="s">
        <v>4140</v>
      </c>
      <c r="B205" s="1133"/>
      <c r="C205" s="1133"/>
      <c r="D205" s="1133"/>
      <c r="E205" s="1133"/>
      <c r="F205" s="1133"/>
    </row>
    <row r="206" spans="1:7" ht="17.25">
      <c r="A206" s="1134" t="s">
        <v>3983</v>
      </c>
      <c r="B206" s="1134"/>
      <c r="C206" s="1134"/>
      <c r="D206" s="1134"/>
      <c r="E206" s="1134"/>
      <c r="F206" s="66"/>
    </row>
    <row r="207" spans="1:7" ht="17.25">
      <c r="A207" s="66"/>
      <c r="B207" s="66"/>
      <c r="C207" s="66"/>
      <c r="D207" s="66"/>
      <c r="E207" s="66"/>
      <c r="F207" s="66"/>
    </row>
    <row r="208" spans="1:7" ht="19.5">
      <c r="B208" s="84"/>
      <c r="C208" s="1135" t="s">
        <v>4144</v>
      </c>
      <c r="D208" s="1135"/>
      <c r="E208" s="1135"/>
      <c r="F208" s="84"/>
      <c r="G208" s="2" t="s">
        <v>2151</v>
      </c>
    </row>
    <row r="209" spans="1:13" ht="20.25">
      <c r="A209" s="83"/>
      <c r="B209" s="1136" t="s">
        <v>5724</v>
      </c>
      <c r="C209" s="1136"/>
      <c r="D209" s="1136"/>
      <c r="E209" s="1136"/>
      <c r="F209" s="1136"/>
      <c r="G209" s="5">
        <f>3.14*0.23*0.23*2.5/4</f>
        <v>0.104</v>
      </c>
    </row>
    <row r="210" spans="1:13" ht="17.25">
      <c r="A210" s="75"/>
      <c r="B210" s="75"/>
      <c r="C210" s="82" t="s">
        <v>5723</v>
      </c>
      <c r="D210" s="75"/>
      <c r="E210" s="75"/>
      <c r="F210" s="75"/>
    </row>
    <row r="211" spans="1:13" ht="17.25">
      <c r="A211" s="77">
        <f>G209</f>
        <v>0.104</v>
      </c>
      <c r="B211" s="75" t="s">
        <v>2151</v>
      </c>
      <c r="C211" s="75" t="str">
        <f>C173</f>
        <v>Standardised concrete  mix using M 30 Grade concrete in (F&amp;B)</v>
      </c>
      <c r="D211" s="66"/>
      <c r="E211" s="76">
        <f>E173</f>
        <v>8461.35</v>
      </c>
      <c r="F211" s="76">
        <f>A211*E211</f>
        <v>879.98</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8622.9</v>
      </c>
    </row>
    <row r="216" spans="1:13" ht="17.25">
      <c r="A216" s="75"/>
      <c r="B216" s="75"/>
      <c r="C216" s="75" t="s">
        <v>1639</v>
      </c>
      <c r="D216" s="66"/>
      <c r="E216" s="75"/>
      <c r="F216" s="76">
        <f>F215/8</f>
        <v>1077.8599999999999</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1202.8599999999999</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137" t="s">
        <v>3976</v>
      </c>
      <c r="D223" s="1137"/>
      <c r="E223" s="1137"/>
      <c r="F223" s="80"/>
      <c r="G223" s="11"/>
      <c r="J223" s="51"/>
      <c r="L223" s="51"/>
      <c r="M223" s="51"/>
    </row>
    <row r="224" spans="1:13" ht="20.25">
      <c r="A224" s="79"/>
      <c r="B224" s="1136" t="s">
        <v>4143</v>
      </c>
      <c r="C224" s="1136"/>
      <c r="D224" s="1136"/>
      <c r="E224" s="1136"/>
      <c r="F224" s="1136"/>
      <c r="G224" s="5">
        <f>3.14*0.23*0.23/4</f>
        <v>4.2000000000000003E-2</v>
      </c>
      <c r="L224" s="51"/>
      <c r="M224" s="51"/>
    </row>
    <row r="225" spans="1:13" ht="17.25">
      <c r="A225" s="75"/>
      <c r="B225" s="75"/>
      <c r="C225" s="78" t="s">
        <v>5644</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138" t="s">
        <v>3972</v>
      </c>
      <c r="D227" s="1138"/>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139" t="s">
        <v>3971</v>
      </c>
      <c r="D232" s="1139"/>
      <c r="E232" s="1139"/>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132" t="s">
        <v>3985</v>
      </c>
      <c r="B246" s="1132"/>
      <c r="C246" s="1132"/>
      <c r="D246" s="1132"/>
      <c r="E246" s="1132"/>
      <c r="F246" s="1132"/>
    </row>
    <row r="247" spans="1:7" ht="17.25">
      <c r="A247" s="1132"/>
      <c r="B247" s="1132"/>
      <c r="C247" s="1132"/>
      <c r="D247" s="1132"/>
      <c r="E247" s="1132"/>
      <c r="F247" s="1132"/>
    </row>
    <row r="248" spans="1:7" ht="17.25">
      <c r="A248" s="1133" t="s">
        <v>4140</v>
      </c>
      <c r="B248" s="1133"/>
      <c r="C248" s="1133"/>
      <c r="D248" s="1133"/>
      <c r="E248" s="1133"/>
      <c r="F248" s="1133"/>
    </row>
    <row r="249" spans="1:7" ht="17.25">
      <c r="A249" s="1134" t="s">
        <v>3983</v>
      </c>
      <c r="B249" s="1134"/>
      <c r="C249" s="1134"/>
      <c r="D249" s="1134"/>
      <c r="E249" s="1134"/>
      <c r="F249" s="66"/>
    </row>
    <row r="250" spans="1:7" ht="17.25">
      <c r="A250" s="66"/>
      <c r="B250" s="66"/>
      <c r="C250" s="66"/>
      <c r="D250" s="66"/>
      <c r="E250" s="66"/>
      <c r="F250" s="66"/>
    </row>
    <row r="251" spans="1:7" ht="19.5">
      <c r="B251" s="84"/>
      <c r="C251" s="1135" t="s">
        <v>4144</v>
      </c>
      <c r="D251" s="1135"/>
      <c r="E251" s="1135"/>
      <c r="F251" s="84"/>
      <c r="G251" s="2" t="s">
        <v>2151</v>
      </c>
    </row>
    <row r="252" spans="1:7" ht="20.25">
      <c r="A252" s="83"/>
      <c r="B252" s="1136" t="s">
        <v>5725</v>
      </c>
      <c r="C252" s="1136"/>
      <c r="D252" s="1136"/>
      <c r="E252" s="1136"/>
      <c r="F252" s="1136"/>
      <c r="G252" s="5">
        <f>3.14*0.3*0.3*8/4</f>
        <v>0.56499999999999995</v>
      </c>
    </row>
    <row r="253" spans="1:7" ht="17.25">
      <c r="A253" s="75"/>
      <c r="B253" s="75"/>
      <c r="C253" s="82" t="s">
        <v>4147</v>
      </c>
      <c r="D253" s="75"/>
      <c r="E253" s="75"/>
      <c r="F253" s="75"/>
    </row>
    <row r="254" spans="1:7" ht="17.25">
      <c r="A254" s="77">
        <f>G252</f>
        <v>0.56499999999999995</v>
      </c>
      <c r="B254" s="75" t="s">
        <v>2151</v>
      </c>
      <c r="C254" s="76" t="str">
        <f>C173</f>
        <v>Standardised concrete  mix using M 30 Grade concrete in (F&amp;B)</v>
      </c>
      <c r="D254" s="76"/>
      <c r="E254" s="76">
        <f>E173</f>
        <v>8461.35</v>
      </c>
      <c r="F254" s="76">
        <f>A254*E254</f>
        <v>4780.66</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12802.49</v>
      </c>
    </row>
    <row r="259" spans="1:7" ht="17.25">
      <c r="A259" s="75"/>
      <c r="B259" s="75"/>
      <c r="C259" s="75" t="s">
        <v>1639</v>
      </c>
      <c r="D259" s="66"/>
      <c r="E259" s="76"/>
      <c r="F259" s="76">
        <f>F258/7</f>
        <v>1828.93</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1953.93</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137" t="s">
        <v>3976</v>
      </c>
      <c r="D266" s="1137"/>
      <c r="E266" s="1137"/>
      <c r="F266" s="80"/>
      <c r="G266" s="11"/>
    </row>
    <row r="267" spans="1:7" ht="20.25">
      <c r="A267" s="79"/>
      <c r="B267" s="1136" t="s">
        <v>5726</v>
      </c>
      <c r="C267" s="1136"/>
      <c r="D267" s="1136"/>
      <c r="E267" s="1136"/>
      <c r="F267" s="1136"/>
      <c r="G267" s="5">
        <f>3.14*0.3*0.3/4</f>
        <v>7.0999999999999994E-2</v>
      </c>
    </row>
    <row r="268" spans="1:7" ht="17.25">
      <c r="A268" s="75"/>
      <c r="B268" s="75"/>
      <c r="C268" s="78" t="s">
        <v>5644</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138" t="s">
        <v>3972</v>
      </c>
      <c r="D270" s="1138"/>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139" t="s">
        <v>3971</v>
      </c>
      <c r="D275" s="1139"/>
      <c r="E275" s="1139"/>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878"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879"/>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6070</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6071</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6072</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6074</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6075</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6077</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499">
        <v>2.2999999999999998</v>
      </c>
      <c r="B164" s="296" t="s">
        <v>246</v>
      </c>
      <c r="C164" s="252" t="e">
        <f>AC19+I167</f>
        <v>#REF!</v>
      </c>
      <c r="F164" s="375">
        <v>2.6</v>
      </c>
      <c r="G164" s="252" t="s">
        <v>2251</v>
      </c>
      <c r="H164" s="296" t="s">
        <v>1171</v>
      </c>
    </row>
    <row r="165" spans="1:11" hidden="1">
      <c r="A165" s="49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6079</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6080</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6081</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6083</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6084</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6085</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6331</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6093</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880"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880"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881">
        <v>1</v>
      </c>
      <c r="B797" s="430" t="s">
        <v>3150</v>
      </c>
      <c r="F797" s="253" t="s">
        <v>1323</v>
      </c>
      <c r="G797" s="252" t="s">
        <v>2251</v>
      </c>
      <c r="H797" s="296" t="s">
        <v>2031</v>
      </c>
      <c r="O797" s="296" t="s">
        <v>1763</v>
      </c>
      <c r="AG797" s="296" t="s">
        <v>2259</v>
      </c>
    </row>
    <row r="798" spans="1:33" hidden="1">
      <c r="A798" s="881"/>
      <c r="B798" s="252" t="s">
        <v>3151</v>
      </c>
      <c r="C798" s="423">
        <v>11</v>
      </c>
      <c r="H798" s="296" t="s">
        <v>2032</v>
      </c>
      <c r="N798" s="296" t="s">
        <v>268</v>
      </c>
      <c r="O798" s="296" t="s">
        <v>1765</v>
      </c>
      <c r="P798" s="252">
        <v>43</v>
      </c>
      <c r="R798" s="252" t="e">
        <f>(#VALUE!*P798)</f>
        <v>#VALUE!</v>
      </c>
      <c r="AG798" s="296" t="s">
        <v>2259</v>
      </c>
    </row>
    <row r="799" spans="1:33" hidden="1">
      <c r="A799" s="881"/>
      <c r="B799" s="252" t="s">
        <v>3152</v>
      </c>
      <c r="C799" s="423">
        <v>11</v>
      </c>
      <c r="H799" s="296" t="s">
        <v>2033</v>
      </c>
      <c r="O799" s="296" t="s">
        <v>1920</v>
      </c>
      <c r="AG799" s="296" t="s">
        <v>2259</v>
      </c>
    </row>
    <row r="800" spans="1:33" hidden="1">
      <c r="A800" s="881"/>
      <c r="B800" s="252" t="s">
        <v>3153</v>
      </c>
      <c r="C800" s="423">
        <v>11</v>
      </c>
      <c r="H800" s="296" t="s">
        <v>891</v>
      </c>
      <c r="O800" s="296" t="s">
        <v>986</v>
      </c>
      <c r="AG800" s="296" t="s">
        <v>2259</v>
      </c>
    </row>
    <row r="801" spans="1:33" hidden="1">
      <c r="A801" s="881"/>
      <c r="B801" s="252" t="s">
        <v>3154</v>
      </c>
      <c r="C801" s="423">
        <v>11</v>
      </c>
      <c r="H801" s="296" t="s">
        <v>892</v>
      </c>
      <c r="N801" s="296" t="s">
        <v>609</v>
      </c>
      <c r="O801" s="296" t="s">
        <v>987</v>
      </c>
      <c r="P801" s="252">
        <f>C271</f>
        <v>160</v>
      </c>
      <c r="R801" s="252" t="e">
        <f t="shared" ref="R801:R807" si="47">(#VALUE!*P801)</f>
        <v>#VALUE!</v>
      </c>
      <c r="AG801" s="296" t="s">
        <v>2259</v>
      </c>
    </row>
    <row r="802" spans="1:33" hidden="1">
      <c r="A802" s="881"/>
      <c r="B802" s="252" t="s">
        <v>3155</v>
      </c>
      <c r="C802" s="423">
        <v>12</v>
      </c>
      <c r="H802" s="296" t="s">
        <v>1721</v>
      </c>
      <c r="N802" s="296" t="s">
        <v>868</v>
      </c>
      <c r="O802" s="296" t="s">
        <v>149</v>
      </c>
      <c r="P802" s="252">
        <v>5</v>
      </c>
      <c r="R802" s="252" t="e">
        <f t="shared" si="47"/>
        <v>#VALUE!</v>
      </c>
      <c r="AG802" s="296" t="s">
        <v>2259</v>
      </c>
    </row>
    <row r="803" spans="1:33" hidden="1">
      <c r="A803" s="881"/>
      <c r="B803" s="252" t="s">
        <v>3156</v>
      </c>
      <c r="C803" s="407" t="s">
        <v>3157</v>
      </c>
      <c r="H803" s="296" t="s">
        <v>93</v>
      </c>
      <c r="N803" s="296" t="s">
        <v>868</v>
      </c>
      <c r="O803" s="296" t="s">
        <v>150</v>
      </c>
      <c r="P803" s="252">
        <v>10</v>
      </c>
      <c r="R803" s="252" t="e">
        <f t="shared" si="47"/>
        <v>#VALUE!</v>
      </c>
      <c r="AG803" s="296" t="s">
        <v>2259</v>
      </c>
    </row>
    <row r="804" spans="1:33" hidden="1">
      <c r="A804" s="881"/>
      <c r="B804" s="252" t="s">
        <v>3158</v>
      </c>
      <c r="C804" s="370">
        <v>25</v>
      </c>
      <c r="H804" s="296" t="s">
        <v>94</v>
      </c>
      <c r="N804" s="296" t="s">
        <v>868</v>
      </c>
      <c r="O804" s="296" t="s">
        <v>1747</v>
      </c>
      <c r="P804" s="252">
        <v>8</v>
      </c>
      <c r="R804" s="252" t="e">
        <f t="shared" si="47"/>
        <v>#VALUE!</v>
      </c>
      <c r="AG804" s="296" t="s">
        <v>2259</v>
      </c>
    </row>
    <row r="805" spans="1:33" hidden="1">
      <c r="A805" s="881"/>
      <c r="B805" s="252" t="s">
        <v>3159</v>
      </c>
      <c r="C805" s="407" t="s">
        <v>3157</v>
      </c>
      <c r="H805" s="296" t="s">
        <v>95</v>
      </c>
      <c r="N805" s="296" t="s">
        <v>826</v>
      </c>
      <c r="O805" s="296" t="s">
        <v>1499</v>
      </c>
      <c r="P805" s="252">
        <v>13.66</v>
      </c>
      <c r="R805" s="252" t="e">
        <f t="shared" si="47"/>
        <v>#VALUE!</v>
      </c>
      <c r="AG805" s="296" t="s">
        <v>2259</v>
      </c>
    </row>
    <row r="806" spans="1:33" hidden="1">
      <c r="A806" s="881"/>
      <c r="B806" s="252" t="s">
        <v>3160</v>
      </c>
      <c r="C806" s="407" t="s">
        <v>3157</v>
      </c>
      <c r="H806" s="296" t="s">
        <v>96</v>
      </c>
      <c r="N806" s="296" t="s">
        <v>609</v>
      </c>
      <c r="O806" s="296" t="s">
        <v>1500</v>
      </c>
      <c r="P806" s="252">
        <v>25.46</v>
      </c>
      <c r="R806" s="252" t="e">
        <f t="shared" si="47"/>
        <v>#VALUE!</v>
      </c>
      <c r="AG806" s="296" t="s">
        <v>2259</v>
      </c>
    </row>
    <row r="807" spans="1:33" hidden="1">
      <c r="A807" s="881"/>
      <c r="B807" s="252" t="s">
        <v>3161</v>
      </c>
      <c r="C807" s="407" t="s">
        <v>3157</v>
      </c>
      <c r="H807" s="296" t="s">
        <v>2053</v>
      </c>
      <c r="N807" s="296" t="s">
        <v>868</v>
      </c>
      <c r="O807" s="296" t="s">
        <v>1319</v>
      </c>
      <c r="P807" s="252">
        <v>0.5</v>
      </c>
      <c r="R807" s="252" t="e">
        <f t="shared" si="47"/>
        <v>#VALUE!</v>
      </c>
      <c r="AG807" s="296" t="s">
        <v>2259</v>
      </c>
    </row>
    <row r="808" spans="1:33" hidden="1">
      <c r="A808" s="881">
        <v>2</v>
      </c>
      <c r="B808" s="430" t="s">
        <v>3162</v>
      </c>
      <c r="H808" s="296" t="s">
        <v>1028</v>
      </c>
      <c r="R808" s="252">
        <v>0.7</v>
      </c>
      <c r="AG808" s="296" t="s">
        <v>2259</v>
      </c>
    </row>
    <row r="809" spans="1:33" hidden="1">
      <c r="A809" s="881"/>
      <c r="B809" s="252" t="s">
        <v>3163</v>
      </c>
      <c r="C809" s="423">
        <v>12.5</v>
      </c>
      <c r="H809" s="296" t="s">
        <v>1778</v>
      </c>
      <c r="R809" s="358" t="s">
        <v>1586</v>
      </c>
      <c r="AG809" s="296" t="s">
        <v>2259</v>
      </c>
    </row>
    <row r="810" spans="1:33" hidden="1">
      <c r="A810" s="881">
        <v>3</v>
      </c>
      <c r="B810" s="252" t="s">
        <v>3164</v>
      </c>
      <c r="C810" s="370">
        <v>242</v>
      </c>
      <c r="H810" s="296" t="s">
        <v>1779</v>
      </c>
      <c r="O810" s="253" t="s">
        <v>1320</v>
      </c>
      <c r="R810" s="252" t="e">
        <f>SUM(R798:R808)</f>
        <v>#VALUE!</v>
      </c>
      <c r="AG810" s="296" t="s">
        <v>2259</v>
      </c>
    </row>
    <row r="811" spans="1:33" hidden="1">
      <c r="A811" s="881" t="s">
        <v>3165</v>
      </c>
      <c r="B811" s="274" t="s">
        <v>3166</v>
      </c>
      <c r="R811" s="358" t="s">
        <v>1586</v>
      </c>
      <c r="AG811" s="296" t="s">
        <v>2259</v>
      </c>
    </row>
    <row r="812" spans="1:33" hidden="1">
      <c r="A812" s="881"/>
      <c r="B812" s="252" t="s">
        <v>2540</v>
      </c>
      <c r="C812" s="463">
        <v>75</v>
      </c>
      <c r="R812" s="358"/>
      <c r="AG812" s="296"/>
    </row>
    <row r="813" spans="1:33" hidden="1">
      <c r="A813" s="881"/>
      <c r="B813" s="268" t="s">
        <v>2541</v>
      </c>
      <c r="C813" s="463">
        <v>80</v>
      </c>
      <c r="G813" s="252" t="s">
        <v>316</v>
      </c>
      <c r="H813" s="253" t="s">
        <v>1776</v>
      </c>
      <c r="R813" s="358"/>
      <c r="AG813" s="296"/>
    </row>
    <row r="814" spans="1:33" hidden="1">
      <c r="A814" s="881">
        <v>4</v>
      </c>
      <c r="B814" s="430" t="s">
        <v>2573</v>
      </c>
      <c r="H814" s="253" t="s">
        <v>1781</v>
      </c>
      <c r="R814" s="358"/>
      <c r="AG814" s="296"/>
    </row>
    <row r="815" spans="1:33" hidden="1">
      <c r="A815" s="881"/>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881"/>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881"/>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881">
        <v>5</v>
      </c>
      <c r="B818" s="430" t="s">
        <v>3018</v>
      </c>
      <c r="F818" s="252">
        <v>12</v>
      </c>
      <c r="G818" s="252" t="s">
        <v>868</v>
      </c>
      <c r="H818" s="296" t="s">
        <v>1187</v>
      </c>
      <c r="I818" s="252">
        <v>3.85</v>
      </c>
      <c r="J818" s="253" t="s">
        <v>868</v>
      </c>
      <c r="K818" s="252">
        <f t="shared" si="48"/>
        <v>46.2</v>
      </c>
      <c r="R818" s="358"/>
      <c r="AG818" s="296"/>
    </row>
    <row r="819" spans="1:33" hidden="1">
      <c r="A819" s="881"/>
      <c r="B819" s="252" t="s">
        <v>3019</v>
      </c>
      <c r="C819" s="370">
        <v>174</v>
      </c>
      <c r="F819" s="252">
        <v>2</v>
      </c>
      <c r="G819" s="252" t="s">
        <v>868</v>
      </c>
      <c r="H819" s="296" t="s">
        <v>1188</v>
      </c>
      <c r="I819" s="252">
        <v>5</v>
      </c>
      <c r="J819" s="253" t="s">
        <v>868</v>
      </c>
      <c r="K819" s="252">
        <f t="shared" si="48"/>
        <v>10</v>
      </c>
      <c r="R819" s="358"/>
      <c r="AG819" s="296"/>
    </row>
    <row r="820" spans="1:33" hidden="1">
      <c r="A820" s="881"/>
      <c r="B820" s="252" t="s">
        <v>3020</v>
      </c>
      <c r="C820" s="370">
        <v>182</v>
      </c>
      <c r="F820" s="252">
        <v>6</v>
      </c>
      <c r="G820" s="252" t="s">
        <v>868</v>
      </c>
      <c r="H820" s="296" t="s">
        <v>2220</v>
      </c>
      <c r="I820" s="252">
        <v>3.85</v>
      </c>
      <c r="J820" s="253" t="s">
        <v>868</v>
      </c>
      <c r="K820" s="252">
        <f t="shared" si="48"/>
        <v>23.1</v>
      </c>
      <c r="R820" s="358"/>
      <c r="AG820" s="296"/>
    </row>
    <row r="821" spans="1:33" hidden="1">
      <c r="A821" s="881"/>
      <c r="B821" s="252" t="s">
        <v>3021</v>
      </c>
      <c r="C821" s="370">
        <v>444</v>
      </c>
      <c r="F821" s="252">
        <v>1</v>
      </c>
      <c r="G821" s="252" t="s">
        <v>868</v>
      </c>
      <c r="H821" s="296" t="s">
        <v>1193</v>
      </c>
      <c r="I821" s="252">
        <f>C10</f>
        <v>150</v>
      </c>
      <c r="J821" s="253" t="s">
        <v>868</v>
      </c>
      <c r="K821" s="252">
        <f t="shared" si="48"/>
        <v>150</v>
      </c>
      <c r="R821" s="358"/>
      <c r="AG821" s="296"/>
    </row>
    <row r="822" spans="1:33" hidden="1">
      <c r="A822" s="881"/>
      <c r="B822" s="252" t="s">
        <v>3022</v>
      </c>
      <c r="C822" s="370">
        <v>626</v>
      </c>
      <c r="F822" s="252">
        <v>1</v>
      </c>
      <c r="G822" s="252" t="s">
        <v>868</v>
      </c>
      <c r="H822" s="296" t="s">
        <v>1194</v>
      </c>
      <c r="I822" s="252">
        <f>C12</f>
        <v>95</v>
      </c>
      <c r="J822" s="253" t="s">
        <v>868</v>
      </c>
      <c r="K822" s="252">
        <f t="shared" si="48"/>
        <v>95</v>
      </c>
      <c r="R822" s="358"/>
      <c r="AG822" s="296"/>
    </row>
    <row r="823" spans="1:33" ht="47.25" hidden="1">
      <c r="A823" s="881">
        <v>6</v>
      </c>
      <c r="B823" s="430" t="s">
        <v>3023</v>
      </c>
      <c r="F823" s="252">
        <v>1</v>
      </c>
      <c r="G823" s="252" t="s">
        <v>868</v>
      </c>
      <c r="H823" s="296" t="s">
        <v>1195</v>
      </c>
      <c r="I823" s="252">
        <v>25</v>
      </c>
      <c r="J823" s="253" t="s">
        <v>868</v>
      </c>
      <c r="K823" s="252">
        <f t="shared" si="48"/>
        <v>25</v>
      </c>
      <c r="R823" s="358"/>
      <c r="AG823" s="296"/>
    </row>
    <row r="824" spans="1:33" hidden="1">
      <c r="A824" s="881"/>
      <c r="B824" s="252" t="s">
        <v>3024</v>
      </c>
      <c r="C824" s="407" t="s">
        <v>3157</v>
      </c>
      <c r="F824" s="252">
        <v>0.5</v>
      </c>
      <c r="G824" s="252" t="s">
        <v>868</v>
      </c>
      <c r="H824" s="296" t="s">
        <v>1196</v>
      </c>
      <c r="I824" s="252">
        <f>C13</f>
        <v>85</v>
      </c>
      <c r="J824" s="253" t="s">
        <v>868</v>
      </c>
      <c r="K824" s="252">
        <f t="shared" si="48"/>
        <v>42.5</v>
      </c>
      <c r="R824" s="358"/>
      <c r="AG824" s="296"/>
    </row>
    <row r="825" spans="1:33" hidden="1">
      <c r="A825" s="881"/>
      <c r="B825" s="252" t="s">
        <v>3025</v>
      </c>
      <c r="C825" s="370">
        <v>306</v>
      </c>
      <c r="G825" s="252" t="s">
        <v>449</v>
      </c>
      <c r="H825" s="296" t="s">
        <v>2139</v>
      </c>
      <c r="J825" s="253" t="s">
        <v>449</v>
      </c>
      <c r="K825" s="252">
        <v>0.5</v>
      </c>
      <c r="R825" s="358"/>
      <c r="AG825" s="296"/>
    </row>
    <row r="826" spans="1:33" ht="31.5" hidden="1">
      <c r="A826" s="881"/>
      <c r="B826" s="268" t="s">
        <v>3026</v>
      </c>
      <c r="C826" s="370">
        <v>450</v>
      </c>
      <c r="K826" s="358" t="s">
        <v>1586</v>
      </c>
      <c r="R826" s="358"/>
      <c r="AG826" s="296"/>
    </row>
    <row r="827" spans="1:33" ht="47.25" hidden="1">
      <c r="A827" s="881">
        <v>7</v>
      </c>
      <c r="B827" s="430" t="s">
        <v>2555</v>
      </c>
      <c r="H827" s="253" t="s">
        <v>283</v>
      </c>
      <c r="K827" s="252" t="e">
        <f>SUM(K815:K825)</f>
        <v>#REF!</v>
      </c>
      <c r="R827" s="358"/>
      <c r="AG827" s="296"/>
    </row>
    <row r="828" spans="1:33" hidden="1">
      <c r="A828" s="881"/>
      <c r="B828" s="252" t="s">
        <v>3025</v>
      </c>
      <c r="C828" s="370">
        <v>575</v>
      </c>
      <c r="K828" s="358" t="s">
        <v>1586</v>
      </c>
      <c r="R828" s="358"/>
      <c r="AG828" s="296"/>
    </row>
    <row r="829" spans="1:33" ht="31.5" hidden="1">
      <c r="A829" s="881"/>
      <c r="B829" s="268" t="s">
        <v>3026</v>
      </c>
      <c r="C829" s="370">
        <v>750</v>
      </c>
      <c r="R829" s="358"/>
      <c r="AG829" s="296"/>
    </row>
    <row r="830" spans="1:33" ht="47.25" hidden="1">
      <c r="A830" s="881">
        <v>8</v>
      </c>
      <c r="B830" s="430" t="s">
        <v>2556</v>
      </c>
      <c r="R830" s="358"/>
      <c r="AG830" s="296"/>
    </row>
    <row r="831" spans="1:33" hidden="1">
      <c r="A831" s="881"/>
      <c r="B831" s="252" t="s">
        <v>3458</v>
      </c>
      <c r="C831" s="370">
        <v>850</v>
      </c>
      <c r="G831" s="252" t="s">
        <v>1907</v>
      </c>
      <c r="H831" s="253" t="s">
        <v>1780</v>
      </c>
      <c r="R831" s="296" t="s">
        <v>975</v>
      </c>
      <c r="AG831" s="296" t="s">
        <v>2259</v>
      </c>
    </row>
    <row r="832" spans="1:33" hidden="1">
      <c r="A832" s="881"/>
      <c r="B832" s="252" t="s">
        <v>2566</v>
      </c>
      <c r="C832" s="370">
        <v>1050</v>
      </c>
      <c r="H832" s="253" t="s">
        <v>1781</v>
      </c>
      <c r="N832" s="296" t="s">
        <v>316</v>
      </c>
      <c r="O832" s="296" t="s">
        <v>38</v>
      </c>
      <c r="AG832" s="296" t="s">
        <v>2259</v>
      </c>
    </row>
    <row r="833" spans="1:33" ht="69" hidden="1" customHeight="1">
      <c r="A833" s="881">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881"/>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881"/>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881">
        <v>10</v>
      </c>
      <c r="B836" s="430" t="s">
        <v>3027</v>
      </c>
      <c r="F836" s="252">
        <v>12</v>
      </c>
      <c r="G836" s="252" t="s">
        <v>868</v>
      </c>
      <c r="H836" s="296" t="s">
        <v>1187</v>
      </c>
      <c r="I836" s="252">
        <v>3.85</v>
      </c>
      <c r="J836" s="253" t="s">
        <v>868</v>
      </c>
      <c r="K836" s="252">
        <f t="shared" si="49"/>
        <v>46.2</v>
      </c>
      <c r="O836" s="296" t="s">
        <v>986</v>
      </c>
      <c r="AG836" s="296" t="s">
        <v>2259</v>
      </c>
    </row>
    <row r="837" spans="1:33" hidden="1">
      <c r="A837" s="881"/>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881"/>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881"/>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881"/>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881"/>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881"/>
      <c r="B842" s="268" t="s">
        <v>3032</v>
      </c>
      <c r="C842" s="370">
        <v>1930</v>
      </c>
      <c r="H842" s="296"/>
      <c r="N842" s="296"/>
      <c r="O842" s="296"/>
      <c r="AG842" s="296"/>
    </row>
    <row r="843" spans="1:33" ht="37.5" hidden="1" customHeight="1">
      <c r="A843" s="881"/>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881">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881"/>
      <c r="B845" s="252" t="s">
        <v>2681</v>
      </c>
      <c r="C845" s="370">
        <v>642</v>
      </c>
      <c r="K845" s="358" t="s">
        <v>1586</v>
      </c>
      <c r="R845" s="252">
        <v>0.97</v>
      </c>
      <c r="AG845" s="296" t="s">
        <v>2259</v>
      </c>
    </row>
    <row r="846" spans="1:33" ht="70.5" hidden="1" customHeight="1">
      <c r="A846" s="881">
        <v>12</v>
      </c>
      <c r="B846" s="430" t="s">
        <v>2682</v>
      </c>
      <c r="H846" s="253" t="s">
        <v>283</v>
      </c>
      <c r="K846" s="252" t="e">
        <f>SUM(K833:K844)</f>
        <v>#REF!</v>
      </c>
      <c r="R846" s="358" t="s">
        <v>1586</v>
      </c>
      <c r="AG846" s="296" t="s">
        <v>2259</v>
      </c>
    </row>
    <row r="847" spans="1:33" hidden="1">
      <c r="A847" s="881"/>
      <c r="B847" s="252" t="s">
        <v>2681</v>
      </c>
      <c r="C847" s="370">
        <v>864</v>
      </c>
      <c r="K847" s="358" t="s">
        <v>1586</v>
      </c>
      <c r="O847" s="253" t="s">
        <v>1320</v>
      </c>
      <c r="R847" s="252" t="e">
        <f>SUM(R834:R845)</f>
        <v>#VALUE!</v>
      </c>
      <c r="AG847" s="296" t="s">
        <v>2259</v>
      </c>
    </row>
    <row r="848" spans="1:33" ht="97.5" hidden="1" customHeight="1">
      <c r="A848" s="881">
        <v>13</v>
      </c>
      <c r="B848" s="430" t="s">
        <v>2683</v>
      </c>
      <c r="F848" s="253"/>
      <c r="G848" s="252" t="s">
        <v>520</v>
      </c>
      <c r="H848" s="253" t="s">
        <v>563</v>
      </c>
      <c r="R848" s="358" t="s">
        <v>1586</v>
      </c>
      <c r="AG848" s="296" t="s">
        <v>2259</v>
      </c>
    </row>
    <row r="849" spans="1:18" hidden="1">
      <c r="A849" s="881"/>
      <c r="B849" s="252" t="s">
        <v>2684</v>
      </c>
      <c r="C849" s="370">
        <v>3100</v>
      </c>
      <c r="H849" s="253" t="s">
        <v>1781</v>
      </c>
    </row>
    <row r="850" spans="1:18" hidden="1">
      <c r="A850" s="881"/>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881"/>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881">
        <v>14</v>
      </c>
      <c r="B852" s="258" t="s">
        <v>2837</v>
      </c>
      <c r="H852" s="296"/>
      <c r="O852" s="296"/>
    </row>
    <row r="853" spans="1:18" hidden="1">
      <c r="A853" s="881"/>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881"/>
      <c r="B854" s="252" t="s">
        <v>2467</v>
      </c>
      <c r="C854" s="407" t="s">
        <v>3157</v>
      </c>
      <c r="F854" s="252">
        <v>12</v>
      </c>
      <c r="G854" s="252" t="s">
        <v>868</v>
      </c>
      <c r="H854" s="296" t="s">
        <v>1187</v>
      </c>
      <c r="I854" s="252">
        <v>3.85</v>
      </c>
      <c r="J854" s="253" t="s">
        <v>868</v>
      </c>
      <c r="K854" s="252">
        <f t="shared" si="50"/>
        <v>46.2</v>
      </c>
      <c r="O854" s="296" t="s">
        <v>581</v>
      </c>
    </row>
    <row r="855" spans="1:18" hidden="1">
      <c r="A855" s="881"/>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881">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881"/>
      <c r="B857" s="252" t="s">
        <v>2470</v>
      </c>
      <c r="C857" s="407" t="s">
        <v>3157</v>
      </c>
      <c r="F857" s="252">
        <v>1</v>
      </c>
      <c r="G857" s="252" t="s">
        <v>868</v>
      </c>
      <c r="H857" s="296" t="s">
        <v>1193</v>
      </c>
      <c r="I857" s="252">
        <f>C10</f>
        <v>150</v>
      </c>
      <c r="J857" s="253" t="s">
        <v>868</v>
      </c>
      <c r="K857" s="252">
        <f t="shared" si="50"/>
        <v>150</v>
      </c>
      <c r="R857" s="358" t="s">
        <v>1586</v>
      </c>
    </row>
    <row r="858" spans="1:18" hidden="1">
      <c r="A858" s="881"/>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881"/>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881">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881">
        <v>17</v>
      </c>
      <c r="B863" s="258" t="s">
        <v>2399</v>
      </c>
      <c r="H863" s="253" t="s">
        <v>283</v>
      </c>
      <c r="K863" s="252" t="e">
        <f>SUM(K850:K861)</f>
        <v>#REF!</v>
      </c>
    </row>
    <row r="864" spans="1:18" hidden="1">
      <c r="A864" s="881"/>
      <c r="B864" s="252" t="s">
        <v>2400</v>
      </c>
      <c r="C864" s="370">
        <v>170</v>
      </c>
      <c r="K864" s="358" t="s">
        <v>1586</v>
      </c>
    </row>
    <row r="865" spans="1:33" hidden="1">
      <c r="A865" s="881"/>
      <c r="B865" s="252" t="s">
        <v>2401</v>
      </c>
      <c r="C865" s="370">
        <v>170</v>
      </c>
    </row>
    <row r="866" spans="1:33" hidden="1">
      <c r="A866" s="881"/>
      <c r="B866" s="252" t="s">
        <v>3229</v>
      </c>
      <c r="C866" s="370">
        <v>295</v>
      </c>
    </row>
    <row r="867" spans="1:33" ht="31.5" hidden="1">
      <c r="A867" s="881"/>
      <c r="B867" s="268" t="s">
        <v>3230</v>
      </c>
      <c r="C867" s="370">
        <v>240</v>
      </c>
    </row>
    <row r="868" spans="1:33" ht="142.5" hidden="1" customHeight="1">
      <c r="A868" s="881"/>
      <c r="F868" s="441">
        <v>21.3</v>
      </c>
      <c r="G868" s="252" t="s">
        <v>2251</v>
      </c>
      <c r="H868" s="442" t="s">
        <v>1727</v>
      </c>
      <c r="AG868" s="296" t="s">
        <v>2259</v>
      </c>
    </row>
    <row r="869" spans="1:33" hidden="1">
      <c r="A869" s="881"/>
      <c r="B869" s="252" t="s">
        <v>3231</v>
      </c>
      <c r="C869" s="407" t="s">
        <v>3232</v>
      </c>
      <c r="H869" s="296" t="s">
        <v>2260</v>
      </c>
      <c r="M869" s="252">
        <v>11.64</v>
      </c>
      <c r="N869" s="296" t="s">
        <v>826</v>
      </c>
      <c r="O869" s="296" t="s">
        <v>1499</v>
      </c>
      <c r="P869" s="252">
        <v>13.66</v>
      </c>
      <c r="R869" s="252">
        <f>(M869*P869)</f>
        <v>159</v>
      </c>
      <c r="AG869" s="296" t="s">
        <v>2259</v>
      </c>
    </row>
    <row r="870" spans="1:33" hidden="1">
      <c r="A870" s="881"/>
      <c r="B870" s="252" t="s">
        <v>3233</v>
      </c>
      <c r="C870" s="407" t="s">
        <v>3232</v>
      </c>
      <c r="H870" s="358" t="s">
        <v>1586</v>
      </c>
      <c r="M870" s="316">
        <v>1.62</v>
      </c>
      <c r="N870" s="296" t="s">
        <v>609</v>
      </c>
      <c r="O870" s="296" t="s">
        <v>1500</v>
      </c>
      <c r="P870" s="252">
        <v>25.46</v>
      </c>
      <c r="R870" s="252">
        <f>(M870*P870)</f>
        <v>41.25</v>
      </c>
      <c r="AG870" s="296" t="s">
        <v>2259</v>
      </c>
    </row>
    <row r="871" spans="1:33" hidden="1">
      <c r="A871" s="881"/>
      <c r="B871" s="252" t="s">
        <v>3234</v>
      </c>
      <c r="C871" s="407" t="s">
        <v>3232</v>
      </c>
      <c r="M871" s="252">
        <v>48</v>
      </c>
      <c r="N871" s="296" t="s">
        <v>868</v>
      </c>
      <c r="O871" s="296" t="s">
        <v>1319</v>
      </c>
      <c r="P871" s="252">
        <v>0.5</v>
      </c>
      <c r="R871" s="252">
        <f>(M871*P871)</f>
        <v>24</v>
      </c>
      <c r="AG871" s="296" t="s">
        <v>2259</v>
      </c>
    </row>
    <row r="872" spans="1:33" hidden="1">
      <c r="A872" s="881"/>
      <c r="B872" s="252" t="s">
        <v>3235</v>
      </c>
      <c r="C872" s="407" t="s">
        <v>3232</v>
      </c>
      <c r="H872" s="296" t="s">
        <v>2260</v>
      </c>
      <c r="J872" s="253" t="s">
        <v>609</v>
      </c>
      <c r="K872" s="252">
        <v>1450</v>
      </c>
      <c r="R872" s="252">
        <v>0.23</v>
      </c>
      <c r="AG872" s="296" t="s">
        <v>2259</v>
      </c>
    </row>
    <row r="873" spans="1:33" hidden="1">
      <c r="A873" s="881">
        <v>18</v>
      </c>
      <c r="B873" s="274" t="s">
        <v>3236</v>
      </c>
      <c r="F873" s="296" t="s">
        <v>975</v>
      </c>
    </row>
    <row r="874" spans="1:33" hidden="1">
      <c r="A874" s="881"/>
      <c r="B874" s="252" t="s">
        <v>3237</v>
      </c>
      <c r="C874" s="370">
        <v>113</v>
      </c>
      <c r="H874" s="253" t="s">
        <v>2261</v>
      </c>
      <c r="K874" s="358" t="s">
        <v>2055</v>
      </c>
      <c r="R874" s="358" t="s">
        <v>1586</v>
      </c>
      <c r="AG874" s="296" t="s">
        <v>2259</v>
      </c>
    </row>
    <row r="875" spans="1:33" hidden="1">
      <c r="A875" s="881"/>
      <c r="B875" s="252" t="s">
        <v>3238</v>
      </c>
      <c r="C875" s="370">
        <v>135</v>
      </c>
      <c r="H875" s="253" t="s">
        <v>1368</v>
      </c>
      <c r="O875" s="253" t="s">
        <v>1320</v>
      </c>
      <c r="R875" s="252">
        <f>SUM(R869:R872)</f>
        <v>224.48</v>
      </c>
      <c r="AG875" s="296" t="s">
        <v>2259</v>
      </c>
    </row>
    <row r="876" spans="1:33" hidden="1">
      <c r="A876" s="881"/>
      <c r="B876" s="252" t="s">
        <v>3239</v>
      </c>
      <c r="C876" s="370">
        <v>180</v>
      </c>
      <c r="F876" s="375">
        <v>21.2</v>
      </c>
      <c r="H876" s="274" t="s">
        <v>1728</v>
      </c>
      <c r="AG876" s="296" t="s">
        <v>2259</v>
      </c>
    </row>
    <row r="877" spans="1:33" hidden="1">
      <c r="A877" s="881"/>
      <c r="B877" s="252" t="s">
        <v>3240</v>
      </c>
      <c r="C877" s="370">
        <v>248</v>
      </c>
      <c r="F877" s="375"/>
      <c r="H877" s="358" t="s">
        <v>1586</v>
      </c>
      <c r="AG877" s="296"/>
    </row>
    <row r="878" spans="1:33" hidden="1">
      <c r="A878" s="881">
        <v>19</v>
      </c>
      <c r="B878" s="252" t="s">
        <v>3241</v>
      </c>
      <c r="C878" s="407" t="s">
        <v>3232</v>
      </c>
      <c r="G878" s="252" t="s">
        <v>154</v>
      </c>
      <c r="H878" s="296" t="s">
        <v>1369</v>
      </c>
      <c r="K878" s="296" t="s">
        <v>975</v>
      </c>
      <c r="AG878" s="296" t="s">
        <v>2259</v>
      </c>
    </row>
    <row r="879" spans="1:33" hidden="1">
      <c r="A879" s="881"/>
      <c r="B879" s="252" t="s">
        <v>3242</v>
      </c>
      <c r="C879" s="407" t="s">
        <v>3232</v>
      </c>
      <c r="H879" s="358" t="s">
        <v>1586</v>
      </c>
      <c r="K879" s="296" t="s">
        <v>975</v>
      </c>
      <c r="AG879" s="296" t="s">
        <v>2259</v>
      </c>
    </row>
    <row r="880" spans="1:33" hidden="1">
      <c r="A880" s="881">
        <v>20</v>
      </c>
      <c r="B880" s="252" t="s">
        <v>2687</v>
      </c>
      <c r="C880" s="407" t="s">
        <v>3232</v>
      </c>
      <c r="F880" s="252">
        <v>1</v>
      </c>
      <c r="G880" s="252" t="s">
        <v>869</v>
      </c>
      <c r="H880" s="296" t="s">
        <v>1568</v>
      </c>
      <c r="I880" s="252">
        <f>C30</f>
        <v>3035</v>
      </c>
      <c r="J880" s="253" t="s">
        <v>869</v>
      </c>
      <c r="K880" s="252">
        <f>(F880*I880)</f>
        <v>3035</v>
      </c>
      <c r="AG880" s="296" t="s">
        <v>2259</v>
      </c>
    </row>
    <row r="881" spans="1:33" hidden="1">
      <c r="A881" s="881">
        <v>21</v>
      </c>
      <c r="B881" s="252" t="s">
        <v>2688</v>
      </c>
      <c r="C881" s="463" t="s">
        <v>3232</v>
      </c>
      <c r="F881" s="252">
        <v>1</v>
      </c>
      <c r="G881" s="252" t="s">
        <v>869</v>
      </c>
      <c r="H881" s="296" t="s">
        <v>1369</v>
      </c>
      <c r="I881" s="252">
        <f>C88</f>
        <v>65420</v>
      </c>
      <c r="J881" s="253" t="s">
        <v>869</v>
      </c>
      <c r="K881" s="252">
        <f>(F881*I881)</f>
        <v>65420</v>
      </c>
      <c r="AG881" s="296" t="s">
        <v>2259</v>
      </c>
    </row>
    <row r="882" spans="1:33" hidden="1">
      <c r="A882" s="881">
        <v>22</v>
      </c>
      <c r="B882" s="252" t="s">
        <v>2689</v>
      </c>
      <c r="C882" s="463" t="s">
        <v>3232</v>
      </c>
      <c r="K882" s="358" t="s">
        <v>2055</v>
      </c>
      <c r="AG882" s="296" t="s">
        <v>2259</v>
      </c>
    </row>
    <row r="883" spans="1:33" hidden="1">
      <c r="A883" s="881">
        <v>23</v>
      </c>
      <c r="B883" s="274" t="s">
        <v>2690</v>
      </c>
      <c r="H883" s="296" t="s">
        <v>1569</v>
      </c>
      <c r="K883" s="252">
        <f>SUM(K880:K881)</f>
        <v>68455</v>
      </c>
      <c r="AG883" s="296" t="s">
        <v>2259</v>
      </c>
    </row>
    <row r="884" spans="1:33" hidden="1">
      <c r="A884" s="881"/>
      <c r="B884" s="252" t="s">
        <v>2691</v>
      </c>
      <c r="C884" s="407" t="s">
        <v>3232</v>
      </c>
      <c r="K884" s="358" t="s">
        <v>2055</v>
      </c>
      <c r="AG884" s="296" t="s">
        <v>2259</v>
      </c>
    </row>
    <row r="885" spans="1:33" hidden="1">
      <c r="A885" s="881"/>
      <c r="B885" s="252" t="s">
        <v>2692</v>
      </c>
      <c r="C885" s="407" t="s">
        <v>3232</v>
      </c>
      <c r="G885" s="252" t="s">
        <v>1555</v>
      </c>
      <c r="H885" s="296" t="s">
        <v>1570</v>
      </c>
      <c r="K885" s="296" t="s">
        <v>975</v>
      </c>
      <c r="AG885" s="296" t="s">
        <v>2259</v>
      </c>
    </row>
    <row r="886" spans="1:33" hidden="1">
      <c r="A886" s="881">
        <v>24</v>
      </c>
      <c r="B886" s="274" t="s">
        <v>2693</v>
      </c>
      <c r="C886" s="370">
        <v>18</v>
      </c>
      <c r="H886" s="358" t="s">
        <v>1586</v>
      </c>
      <c r="AG886" s="296" t="s">
        <v>2259</v>
      </c>
    </row>
    <row r="887" spans="1:33" ht="51" hidden="1" customHeight="1">
      <c r="A887" s="881">
        <v>25</v>
      </c>
      <c r="B887" s="260" t="s">
        <v>2694</v>
      </c>
      <c r="C887" s="370">
        <v>300</v>
      </c>
      <c r="F887" s="252">
        <v>1</v>
      </c>
      <c r="G887" s="252" t="s">
        <v>869</v>
      </c>
      <c r="H887" s="296" t="s">
        <v>1568</v>
      </c>
      <c r="I887" s="252">
        <f>C30</f>
        <v>3035</v>
      </c>
      <c r="J887" s="253" t="s">
        <v>869</v>
      </c>
      <c r="K887" s="252">
        <f>(F887*I887)</f>
        <v>3035</v>
      </c>
      <c r="AG887" s="296" t="s">
        <v>2259</v>
      </c>
    </row>
    <row r="888" spans="1:33" hidden="1">
      <c r="A888" s="881">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881">
        <v>27</v>
      </c>
      <c r="B889" s="260" t="s">
        <v>2696</v>
      </c>
      <c r="C889" s="370">
        <v>178</v>
      </c>
      <c r="K889" s="358" t="s">
        <v>2055</v>
      </c>
      <c r="AG889" s="296" t="s">
        <v>2259</v>
      </c>
    </row>
    <row r="890" spans="1:33" ht="41.25" hidden="1" customHeight="1">
      <c r="A890" s="881"/>
      <c r="B890" s="260" t="s">
        <v>2697</v>
      </c>
      <c r="C890" s="370">
        <v>1120</v>
      </c>
      <c r="H890" s="296" t="s">
        <v>1571</v>
      </c>
      <c r="K890" s="252">
        <f>SUM(K887:K888)</f>
        <v>60200</v>
      </c>
      <c r="AG890" s="296" t="s">
        <v>2259</v>
      </c>
    </row>
    <row r="891" spans="1:33" ht="39" hidden="1" customHeight="1">
      <c r="A891" s="881"/>
      <c r="B891" s="258" t="s">
        <v>2698</v>
      </c>
      <c r="K891" s="358" t="s">
        <v>2055</v>
      </c>
      <c r="AG891" s="296" t="s">
        <v>2259</v>
      </c>
    </row>
    <row r="892" spans="1:33" hidden="1">
      <c r="A892" s="881"/>
      <c r="B892" s="260" t="s">
        <v>3414</v>
      </c>
      <c r="C892" s="407" t="s">
        <v>3232</v>
      </c>
      <c r="AG892" s="296" t="s">
        <v>2259</v>
      </c>
    </row>
    <row r="893" spans="1:33" hidden="1">
      <c r="A893" s="881"/>
      <c r="B893" s="260" t="s">
        <v>2557</v>
      </c>
      <c r="C893" s="407" t="s">
        <v>3232</v>
      </c>
      <c r="F893" s="253" t="s">
        <v>564</v>
      </c>
      <c r="G893" s="252" t="s">
        <v>2251</v>
      </c>
      <c r="H893" s="296" t="s">
        <v>255</v>
      </c>
      <c r="AG893" s="296" t="s">
        <v>2259</v>
      </c>
    </row>
    <row r="894" spans="1:33" hidden="1">
      <c r="A894" s="881"/>
      <c r="B894" s="260" t="s">
        <v>2558</v>
      </c>
      <c r="C894" s="407" t="s">
        <v>3232</v>
      </c>
      <c r="H894" s="296" t="s">
        <v>256</v>
      </c>
      <c r="AG894" s="296" t="s">
        <v>2259</v>
      </c>
    </row>
    <row r="895" spans="1:33" ht="31.5" hidden="1">
      <c r="A895" s="881"/>
      <c r="B895" s="260" t="s">
        <v>2559</v>
      </c>
      <c r="C895" s="370">
        <v>120</v>
      </c>
      <c r="H895" s="296" t="s">
        <v>1470</v>
      </c>
      <c r="AG895" s="296" t="s">
        <v>2259</v>
      </c>
    </row>
    <row r="896" spans="1:33" hidden="1">
      <c r="A896" s="881"/>
      <c r="B896" s="258" t="s">
        <v>2560</v>
      </c>
      <c r="H896" s="358" t="s">
        <v>1586</v>
      </c>
      <c r="AG896" s="296" t="s">
        <v>2259</v>
      </c>
    </row>
    <row r="897" spans="1:33" hidden="1">
      <c r="A897" s="881"/>
      <c r="B897" s="260" t="s">
        <v>2561</v>
      </c>
      <c r="C897" s="370">
        <v>45</v>
      </c>
      <c r="H897" s="296" t="s">
        <v>89</v>
      </c>
    </row>
    <row r="898" spans="1:33" hidden="1">
      <c r="A898" s="881"/>
      <c r="B898" s="260" t="s">
        <v>2562</v>
      </c>
      <c r="C898" s="370">
        <v>18</v>
      </c>
      <c r="H898" s="296" t="s">
        <v>90</v>
      </c>
    </row>
    <row r="899" spans="1:33" hidden="1">
      <c r="A899" s="881"/>
      <c r="B899" s="260" t="s">
        <v>2563</v>
      </c>
      <c r="C899" s="370">
        <v>450</v>
      </c>
      <c r="J899" s="253" t="s">
        <v>1586</v>
      </c>
    </row>
    <row r="900" spans="1:33" hidden="1">
      <c r="A900" s="881"/>
      <c r="B900" s="260" t="s">
        <v>2564</v>
      </c>
      <c r="C900" s="370">
        <v>650</v>
      </c>
      <c r="H900" s="296" t="s">
        <v>1172</v>
      </c>
    </row>
    <row r="901" spans="1:33" ht="47.25" hidden="1">
      <c r="A901" s="881"/>
      <c r="B901" s="260" t="s">
        <v>2565</v>
      </c>
      <c r="C901" s="370">
        <v>5000</v>
      </c>
      <c r="H901" s="296" t="s">
        <v>2006</v>
      </c>
      <c r="K901" s="400">
        <v>2.4299999999999999E-2</v>
      </c>
    </row>
    <row r="902" spans="1:33" ht="63" hidden="1">
      <c r="A902" s="881"/>
      <c r="B902" s="260" t="s">
        <v>2584</v>
      </c>
      <c r="C902" s="370">
        <v>6750</v>
      </c>
      <c r="J902" s="253" t="s">
        <v>975</v>
      </c>
      <c r="K902" s="358" t="s">
        <v>1586</v>
      </c>
    </row>
    <row r="903" spans="1:33" ht="47.25" hidden="1">
      <c r="A903" s="881"/>
      <c r="B903" s="260" t="s">
        <v>2464</v>
      </c>
      <c r="C903" s="370">
        <v>5800</v>
      </c>
      <c r="H903" s="296" t="s">
        <v>2007</v>
      </c>
      <c r="J903" s="559" t="s">
        <v>975</v>
      </c>
      <c r="K903" s="400">
        <v>1.47E-2</v>
      </c>
    </row>
    <row r="904" spans="1:33" hidden="1">
      <c r="A904" s="881"/>
      <c r="B904" s="260" t="s">
        <v>2465</v>
      </c>
      <c r="H904" s="296" t="s">
        <v>1766</v>
      </c>
      <c r="J904" s="253" t="s">
        <v>975</v>
      </c>
      <c r="K904" s="400">
        <v>4.5999999999999999E-3</v>
      </c>
    </row>
    <row r="905" spans="1:33" ht="47.25" hidden="1">
      <c r="A905" s="881"/>
      <c r="B905" s="260" t="s">
        <v>2466</v>
      </c>
      <c r="K905" s="358" t="s">
        <v>1586</v>
      </c>
    </row>
    <row r="906" spans="1:33" ht="47.25" hidden="1">
      <c r="A906" s="881"/>
      <c r="B906" s="260" t="s">
        <v>2466</v>
      </c>
      <c r="K906" s="400">
        <v>1.9300000000000001E-2</v>
      </c>
    </row>
    <row r="907" spans="1:33" ht="47.25" hidden="1">
      <c r="A907" s="881"/>
      <c r="B907" s="260" t="s">
        <v>2479</v>
      </c>
      <c r="K907" s="358" t="s">
        <v>1586</v>
      </c>
    </row>
    <row r="908" spans="1:33" hidden="1">
      <c r="A908" s="881"/>
      <c r="B908" s="260" t="s">
        <v>2480</v>
      </c>
    </row>
    <row r="909" spans="1:33" hidden="1">
      <c r="A909" s="881"/>
      <c r="B909" s="260" t="s">
        <v>2528</v>
      </c>
    </row>
    <row r="910" spans="1:33" hidden="1">
      <c r="A910" s="881"/>
      <c r="B910" s="260" t="s">
        <v>3430</v>
      </c>
      <c r="F910" s="400">
        <v>1.14E-2</v>
      </c>
      <c r="G910" s="252" t="s">
        <v>869</v>
      </c>
      <c r="H910" s="296" t="s">
        <v>308</v>
      </c>
      <c r="I910" s="252">
        <f>C88</f>
        <v>65420</v>
      </c>
      <c r="J910" s="253" t="s">
        <v>869</v>
      </c>
      <c r="K910" s="252">
        <f>(F910*I910)</f>
        <v>745.79</v>
      </c>
      <c r="AG910" s="296" t="s">
        <v>2259</v>
      </c>
    </row>
    <row r="911" spans="1:33" hidden="1">
      <c r="A911" s="881"/>
      <c r="B911" s="260" t="s">
        <v>2542</v>
      </c>
      <c r="F911" s="400">
        <v>2.4299999999999999E-2</v>
      </c>
      <c r="G911" s="252" t="s">
        <v>869</v>
      </c>
      <c r="H911" s="296" t="s">
        <v>309</v>
      </c>
      <c r="I911" s="252">
        <f>C89</f>
        <v>57165</v>
      </c>
      <c r="J911" s="253" t="s">
        <v>869</v>
      </c>
      <c r="K911" s="252">
        <f>(F911*I911)</f>
        <v>1389.11</v>
      </c>
      <c r="AG911" s="296" t="s">
        <v>2259</v>
      </c>
    </row>
    <row r="912" spans="1:33" hidden="1">
      <c r="A912" s="881"/>
      <c r="B912" s="260" t="s">
        <v>2543</v>
      </c>
      <c r="F912" s="400">
        <v>1.9300000000000001E-2</v>
      </c>
      <c r="G912" s="252" t="s">
        <v>869</v>
      </c>
      <c r="H912" s="296" t="s">
        <v>310</v>
      </c>
      <c r="I912" s="252">
        <f>C90</f>
        <v>63870</v>
      </c>
      <c r="J912" s="253" t="s">
        <v>869</v>
      </c>
      <c r="K912" s="252">
        <f>(F912*I912)</f>
        <v>1232.69</v>
      </c>
      <c r="AG912" s="296" t="s">
        <v>2259</v>
      </c>
    </row>
    <row r="913" spans="1:33" hidden="1">
      <c r="A913" s="881"/>
      <c r="B913" s="260" t="s">
        <v>2544</v>
      </c>
      <c r="F913" s="316"/>
      <c r="H913" s="296" t="s">
        <v>446</v>
      </c>
      <c r="I913" s="296" t="s">
        <v>975</v>
      </c>
      <c r="K913" s="296" t="s">
        <v>975</v>
      </c>
      <c r="AG913" s="296" t="s">
        <v>2259</v>
      </c>
    </row>
    <row r="914" spans="1:33" hidden="1">
      <c r="A914" s="881"/>
      <c r="B914" s="260" t="s">
        <v>2545</v>
      </c>
      <c r="F914" s="316">
        <v>1.823</v>
      </c>
      <c r="G914" s="252" t="s">
        <v>609</v>
      </c>
      <c r="H914" s="296" t="s">
        <v>447</v>
      </c>
      <c r="I914" s="252">
        <f>C31</f>
        <v>342</v>
      </c>
      <c r="J914" s="253" t="s">
        <v>609</v>
      </c>
      <c r="K914" s="252">
        <f t="shared" ref="K914:K920" si="51">(F914*I914)</f>
        <v>623.47</v>
      </c>
      <c r="AG914" s="296" t="s">
        <v>2259</v>
      </c>
    </row>
    <row r="915" spans="1:33" hidden="1">
      <c r="A915" s="881"/>
      <c r="B915" s="260" t="s">
        <v>2546</v>
      </c>
      <c r="F915" s="252">
        <v>1</v>
      </c>
      <c r="G915" s="252" t="s">
        <v>769</v>
      </c>
      <c r="H915" s="296" t="s">
        <v>1463</v>
      </c>
      <c r="I915" s="252">
        <f>C576</f>
        <v>30</v>
      </c>
      <c r="J915" s="253" t="s">
        <v>868</v>
      </c>
      <c r="K915" s="252">
        <f t="shared" si="51"/>
        <v>30</v>
      </c>
      <c r="AG915" s="296" t="s">
        <v>2259</v>
      </c>
    </row>
    <row r="916" spans="1:33" ht="31.5" hidden="1">
      <c r="A916" s="881"/>
      <c r="B916" s="260" t="s">
        <v>2547</v>
      </c>
      <c r="F916" s="252">
        <v>3</v>
      </c>
      <c r="G916" s="252" t="s">
        <v>868</v>
      </c>
      <c r="H916" s="296" t="s">
        <v>1464</v>
      </c>
      <c r="I916" s="252">
        <f>C278</f>
        <v>45</v>
      </c>
      <c r="J916" s="253" t="s">
        <v>868</v>
      </c>
      <c r="K916" s="252">
        <f t="shared" si="51"/>
        <v>135</v>
      </c>
      <c r="AG916" s="296" t="s">
        <v>2259</v>
      </c>
    </row>
    <row r="917" spans="1:33" ht="31.5" hidden="1">
      <c r="A917" s="881"/>
      <c r="B917" s="260" t="s">
        <v>2548</v>
      </c>
      <c r="F917" s="252">
        <v>2</v>
      </c>
      <c r="G917" s="252" t="s">
        <v>868</v>
      </c>
      <c r="H917" s="296" t="s">
        <v>1465</v>
      </c>
      <c r="I917" s="252">
        <f>C283</f>
        <v>30</v>
      </c>
      <c r="J917" s="253" t="s">
        <v>868</v>
      </c>
      <c r="K917" s="252">
        <f t="shared" si="51"/>
        <v>60</v>
      </c>
      <c r="AG917" s="296" t="s">
        <v>2259</v>
      </c>
    </row>
    <row r="918" spans="1:33" ht="31.5" hidden="1">
      <c r="A918" s="881"/>
      <c r="B918" s="260" t="s">
        <v>2549</v>
      </c>
      <c r="F918" s="252">
        <v>1</v>
      </c>
      <c r="G918" s="252" t="s">
        <v>868</v>
      </c>
      <c r="H918" s="296" t="s">
        <v>1466</v>
      </c>
      <c r="I918" s="252">
        <f>C285</f>
        <v>95</v>
      </c>
      <c r="J918" s="253" t="s">
        <v>868</v>
      </c>
      <c r="K918" s="252">
        <f t="shared" si="51"/>
        <v>95</v>
      </c>
      <c r="AG918" s="296" t="s">
        <v>2259</v>
      </c>
    </row>
    <row r="919" spans="1:33" hidden="1">
      <c r="A919" s="881"/>
      <c r="B919" s="260" t="s">
        <v>2550</v>
      </c>
      <c r="F919" s="252">
        <v>1</v>
      </c>
      <c r="G919" s="252" t="s">
        <v>868</v>
      </c>
      <c r="H919" s="296" t="s">
        <v>1467</v>
      </c>
      <c r="I919" s="252">
        <f>C287</f>
        <v>8</v>
      </c>
      <c r="J919" s="253" t="s">
        <v>868</v>
      </c>
      <c r="K919" s="252">
        <f t="shared" si="51"/>
        <v>8</v>
      </c>
      <c r="AG919" s="296" t="s">
        <v>2259</v>
      </c>
    </row>
    <row r="920" spans="1:33" hidden="1">
      <c r="A920" s="881"/>
      <c r="B920" s="260" t="s">
        <v>2579</v>
      </c>
      <c r="F920" s="252">
        <v>1</v>
      </c>
      <c r="G920" s="252" t="s">
        <v>868</v>
      </c>
      <c r="H920" s="296" t="s">
        <v>1982</v>
      </c>
      <c r="I920" s="252">
        <f>D576</f>
        <v>25</v>
      </c>
      <c r="J920" s="253" t="s">
        <v>868</v>
      </c>
      <c r="K920" s="252">
        <f t="shared" si="51"/>
        <v>25</v>
      </c>
      <c r="AG920" s="296" t="s">
        <v>2259</v>
      </c>
    </row>
    <row r="921" spans="1:33" hidden="1">
      <c r="A921" s="881"/>
      <c r="B921" s="260" t="s">
        <v>2580</v>
      </c>
      <c r="K921" s="358" t="s">
        <v>1586</v>
      </c>
      <c r="AG921" s="296" t="s">
        <v>2259</v>
      </c>
    </row>
    <row r="922" spans="1:33" ht="31.5" hidden="1">
      <c r="A922" s="881"/>
      <c r="B922" s="260" t="s">
        <v>2581</v>
      </c>
      <c r="H922" s="296" t="s">
        <v>1468</v>
      </c>
      <c r="K922" s="252">
        <f>SUM(K910:K920)</f>
        <v>4344.0600000000004</v>
      </c>
      <c r="AG922" s="296" t="s">
        <v>2259</v>
      </c>
    </row>
    <row r="923" spans="1:33" hidden="1">
      <c r="A923" s="881"/>
      <c r="B923" s="260" t="s">
        <v>2975</v>
      </c>
      <c r="K923" s="358" t="s">
        <v>1586</v>
      </c>
      <c r="AG923" s="296" t="s">
        <v>2259</v>
      </c>
    </row>
    <row r="924" spans="1:33" hidden="1">
      <c r="A924" s="881"/>
      <c r="B924" s="260" t="s">
        <v>2976</v>
      </c>
      <c r="H924" s="296" t="s">
        <v>552</v>
      </c>
      <c r="K924" s="252">
        <f>K922/F914</f>
        <v>2382.92</v>
      </c>
      <c r="AG924" s="296" t="s">
        <v>2259</v>
      </c>
    </row>
    <row r="925" spans="1:33" hidden="1">
      <c r="A925" s="881"/>
      <c r="B925" s="260" t="s">
        <v>2977</v>
      </c>
      <c r="F925" s="296" t="s">
        <v>975</v>
      </c>
    </row>
    <row r="926" spans="1:33" hidden="1">
      <c r="A926" s="881"/>
      <c r="B926" s="260" t="s">
        <v>2978</v>
      </c>
      <c r="K926" s="358" t="s">
        <v>2055</v>
      </c>
      <c r="AG926" s="296" t="s">
        <v>2259</v>
      </c>
    </row>
    <row r="927" spans="1:33" hidden="1">
      <c r="A927" s="881"/>
      <c r="B927" s="260" t="s">
        <v>2979</v>
      </c>
    </row>
    <row r="928" spans="1:33" hidden="1">
      <c r="A928" s="881"/>
      <c r="B928" s="260" t="s">
        <v>2980</v>
      </c>
    </row>
    <row r="929" spans="1:33" hidden="1">
      <c r="A929" s="881"/>
      <c r="B929" s="260" t="s">
        <v>2981</v>
      </c>
      <c r="F929" s="253" t="s">
        <v>1338</v>
      </c>
      <c r="G929" s="252" t="s">
        <v>2251</v>
      </c>
      <c r="H929" s="296" t="s">
        <v>255</v>
      </c>
      <c r="AG929" s="296" t="s">
        <v>2259</v>
      </c>
    </row>
    <row r="930" spans="1:33" ht="16.5" hidden="1" customHeight="1">
      <c r="A930" s="881"/>
      <c r="B930" s="260" t="s">
        <v>2982</v>
      </c>
      <c r="H930" s="296" t="s">
        <v>256</v>
      </c>
      <c r="AG930" s="296" t="s">
        <v>2259</v>
      </c>
    </row>
    <row r="931" spans="1:33" ht="15.75" hidden="1" customHeight="1">
      <c r="A931" s="881"/>
      <c r="B931" s="260" t="s">
        <v>2983</v>
      </c>
      <c r="H931" s="296" t="s">
        <v>1471</v>
      </c>
      <c r="AG931" s="296" t="s">
        <v>2259</v>
      </c>
    </row>
    <row r="932" spans="1:33" hidden="1">
      <c r="A932" s="881"/>
      <c r="B932" s="260" t="s">
        <v>2984</v>
      </c>
      <c r="H932" s="358" t="s">
        <v>1586</v>
      </c>
      <c r="AG932" s="296" t="s">
        <v>2259</v>
      </c>
    </row>
    <row r="933" spans="1:33" hidden="1">
      <c r="A933" s="881"/>
      <c r="B933" s="260" t="s">
        <v>2985</v>
      </c>
    </row>
    <row r="934" spans="1:33" ht="20.25" hidden="1" customHeight="1">
      <c r="A934" s="881"/>
      <c r="B934" s="260" t="s">
        <v>2986</v>
      </c>
      <c r="H934" s="296" t="s">
        <v>644</v>
      </c>
    </row>
    <row r="935" spans="1:33" hidden="1">
      <c r="A935" s="881"/>
      <c r="B935" s="260" t="s">
        <v>2615</v>
      </c>
      <c r="H935" s="296" t="s">
        <v>645</v>
      </c>
    </row>
    <row r="936" spans="1:33" hidden="1">
      <c r="A936" s="881"/>
      <c r="B936" s="260" t="s">
        <v>2616</v>
      </c>
      <c r="J936" s="253" t="s">
        <v>1586</v>
      </c>
    </row>
    <row r="937" spans="1:33" hidden="1">
      <c r="A937" s="881"/>
      <c r="B937" s="260" t="s">
        <v>2617</v>
      </c>
      <c r="H937" s="296" t="s">
        <v>646</v>
      </c>
    </row>
    <row r="938" spans="1:33" hidden="1">
      <c r="A938" s="881"/>
      <c r="B938" s="260" t="s">
        <v>2618</v>
      </c>
      <c r="H938" s="296" t="s">
        <v>647</v>
      </c>
      <c r="K938" s="400">
        <v>2.1999999999999999E-2</v>
      </c>
    </row>
    <row r="939" spans="1:33" hidden="1">
      <c r="A939" s="881"/>
      <c r="B939" s="260" t="s">
        <v>2619</v>
      </c>
      <c r="J939" s="253" t="s">
        <v>975</v>
      </c>
      <c r="K939" s="358" t="s">
        <v>1586</v>
      </c>
    </row>
    <row r="940" spans="1:33" ht="31.5" hidden="1">
      <c r="A940" s="881"/>
      <c r="B940" s="260" t="s">
        <v>2679</v>
      </c>
      <c r="H940" s="296" t="s">
        <v>859</v>
      </c>
      <c r="J940" s="559" t="s">
        <v>975</v>
      </c>
      <c r="K940" s="400">
        <v>1.3100000000000001E-2</v>
      </c>
    </row>
    <row r="941" spans="1:33" ht="31.5" hidden="1">
      <c r="A941" s="881"/>
      <c r="B941" s="260" t="s">
        <v>3125</v>
      </c>
      <c r="H941" s="296" t="s">
        <v>2152</v>
      </c>
      <c r="J941" s="253" t="s">
        <v>975</v>
      </c>
      <c r="K941" s="400">
        <v>3.3999999999999998E-3</v>
      </c>
    </row>
    <row r="942" spans="1:33" ht="31.5" hidden="1">
      <c r="A942" s="881"/>
      <c r="B942" s="260" t="s">
        <v>2955</v>
      </c>
      <c r="K942" s="358" t="s">
        <v>1586</v>
      </c>
    </row>
    <row r="943" spans="1:33" ht="31.5" hidden="1">
      <c r="A943" s="881"/>
      <c r="B943" s="260" t="s">
        <v>2956</v>
      </c>
      <c r="K943" s="400">
        <v>1.6500000000000001E-2</v>
      </c>
    </row>
    <row r="944" spans="1:33" hidden="1">
      <c r="A944" s="881"/>
      <c r="B944" s="260" t="s">
        <v>2957</v>
      </c>
      <c r="K944" s="358" t="s">
        <v>1586</v>
      </c>
    </row>
    <row r="945" spans="1:33" hidden="1">
      <c r="A945" s="881"/>
      <c r="B945" s="260" t="s">
        <v>2958</v>
      </c>
      <c r="F945" s="400">
        <v>1.15E-2</v>
      </c>
      <c r="G945" s="252" t="s">
        <v>869</v>
      </c>
      <c r="H945" s="296" t="s">
        <v>308</v>
      </c>
      <c r="I945" s="252">
        <f>C88</f>
        <v>65420</v>
      </c>
      <c r="J945" s="253" t="s">
        <v>869</v>
      </c>
      <c r="K945" s="252">
        <f>(F945*I945)</f>
        <v>752.33</v>
      </c>
      <c r="AG945" s="296" t="s">
        <v>2259</v>
      </c>
    </row>
    <row r="946" spans="1:33" hidden="1">
      <c r="A946" s="881"/>
      <c r="B946" s="260" t="s">
        <v>2959</v>
      </c>
      <c r="F946" s="400">
        <v>2.1999999999999999E-2</v>
      </c>
      <c r="G946" s="252" t="s">
        <v>869</v>
      </c>
      <c r="H946" s="296" t="s">
        <v>309</v>
      </c>
      <c r="I946" s="252">
        <f>C89</f>
        <v>57165</v>
      </c>
      <c r="J946" s="253" t="s">
        <v>869</v>
      </c>
      <c r="K946" s="252">
        <f>(F946*I946)</f>
        <v>1257.6300000000001</v>
      </c>
      <c r="AG946" s="296" t="s">
        <v>2259</v>
      </c>
    </row>
    <row r="947" spans="1:33" hidden="1">
      <c r="A947" s="881"/>
      <c r="B947" s="260" t="s">
        <v>2960</v>
      </c>
      <c r="F947" s="400">
        <v>1.6500000000000001E-2</v>
      </c>
      <c r="G947" s="252" t="s">
        <v>869</v>
      </c>
      <c r="H947" s="296" t="s">
        <v>310</v>
      </c>
      <c r="I947" s="252">
        <f>C90</f>
        <v>63870</v>
      </c>
      <c r="J947" s="253" t="s">
        <v>869</v>
      </c>
      <c r="K947" s="252">
        <f>(F947*I947)</f>
        <v>1053.8599999999999</v>
      </c>
      <c r="AG947" s="296" t="s">
        <v>2259</v>
      </c>
    </row>
    <row r="948" spans="1:33" hidden="1">
      <c r="A948" s="881"/>
      <c r="B948" s="260" t="s">
        <v>2422</v>
      </c>
      <c r="F948" s="400"/>
      <c r="H948" s="296" t="s">
        <v>446</v>
      </c>
      <c r="I948" s="296" t="s">
        <v>975</v>
      </c>
      <c r="K948" s="296" t="s">
        <v>975</v>
      </c>
      <c r="AG948" s="296" t="s">
        <v>2259</v>
      </c>
    </row>
    <row r="949" spans="1:33" ht="31.5" hidden="1">
      <c r="A949" s="881"/>
      <c r="B949" s="260" t="s">
        <v>2423</v>
      </c>
      <c r="F949" s="400">
        <v>1.64</v>
      </c>
      <c r="G949" s="252" t="s">
        <v>609</v>
      </c>
      <c r="H949" s="296" t="s">
        <v>447</v>
      </c>
      <c r="I949" s="252">
        <f>C31</f>
        <v>342</v>
      </c>
      <c r="J949" s="253" t="s">
        <v>609</v>
      </c>
      <c r="K949" s="252">
        <f t="shared" ref="K949:K955" si="52">(F949*I949)</f>
        <v>560.88</v>
      </c>
      <c r="AG949" s="296" t="s">
        <v>2259</v>
      </c>
    </row>
    <row r="950" spans="1:33" ht="31.5" hidden="1">
      <c r="A950" s="881"/>
      <c r="B950" s="260" t="s">
        <v>3126</v>
      </c>
      <c r="F950" s="252">
        <v>1</v>
      </c>
      <c r="G950" s="252" t="s">
        <v>769</v>
      </c>
      <c r="H950" s="296" t="s">
        <v>1463</v>
      </c>
      <c r="I950" s="252">
        <f>C576</f>
        <v>30</v>
      </c>
      <c r="J950" s="253" t="s">
        <v>868</v>
      </c>
      <c r="K950" s="252">
        <f t="shared" si="52"/>
        <v>30</v>
      </c>
      <c r="AG950" s="296" t="s">
        <v>2259</v>
      </c>
    </row>
    <row r="951" spans="1:33" ht="31.5" hidden="1">
      <c r="A951" s="881"/>
      <c r="B951" s="260" t="s">
        <v>3127</v>
      </c>
      <c r="F951" s="252">
        <v>3</v>
      </c>
      <c r="G951" s="252" t="s">
        <v>868</v>
      </c>
      <c r="H951" s="296" t="s">
        <v>1464</v>
      </c>
      <c r="I951" s="252">
        <f>C278</f>
        <v>45</v>
      </c>
      <c r="J951" s="253" t="s">
        <v>868</v>
      </c>
      <c r="K951" s="252">
        <f t="shared" si="52"/>
        <v>135</v>
      </c>
      <c r="AG951" s="296" t="s">
        <v>2259</v>
      </c>
    </row>
    <row r="952" spans="1:33" ht="31.5" hidden="1">
      <c r="A952" s="881"/>
      <c r="B952" s="260" t="s">
        <v>3137</v>
      </c>
      <c r="F952" s="252">
        <v>2</v>
      </c>
      <c r="G952" s="252" t="s">
        <v>868</v>
      </c>
      <c r="H952" s="296" t="s">
        <v>1465</v>
      </c>
      <c r="I952" s="252">
        <f>C283</f>
        <v>30</v>
      </c>
      <c r="J952" s="253" t="s">
        <v>868</v>
      </c>
      <c r="K952" s="252">
        <f t="shared" si="52"/>
        <v>60</v>
      </c>
      <c r="AG952" s="296" t="s">
        <v>321</v>
      </c>
    </row>
    <row r="953" spans="1:33" ht="31.5" hidden="1">
      <c r="A953" s="881"/>
      <c r="B953" s="260" t="s">
        <v>3138</v>
      </c>
      <c r="F953" s="252">
        <v>1</v>
      </c>
      <c r="G953" s="252" t="s">
        <v>868</v>
      </c>
      <c r="H953" s="296" t="s">
        <v>1466</v>
      </c>
      <c r="I953" s="252">
        <f>C285</f>
        <v>95</v>
      </c>
      <c r="J953" s="253" t="s">
        <v>868</v>
      </c>
      <c r="K953" s="252">
        <f t="shared" si="52"/>
        <v>95</v>
      </c>
    </row>
    <row r="954" spans="1:33" ht="31.5" hidden="1">
      <c r="A954" s="881"/>
      <c r="B954" s="260" t="s">
        <v>3139</v>
      </c>
      <c r="F954" s="252">
        <v>1</v>
      </c>
      <c r="G954" s="252" t="s">
        <v>868</v>
      </c>
      <c r="H954" s="296" t="s">
        <v>1467</v>
      </c>
      <c r="I954" s="252">
        <f>C287</f>
        <v>8</v>
      </c>
      <c r="J954" s="253" t="s">
        <v>868</v>
      </c>
      <c r="K954" s="252">
        <f t="shared" si="52"/>
        <v>8</v>
      </c>
    </row>
    <row r="955" spans="1:33" ht="31.5" hidden="1">
      <c r="A955" s="881"/>
      <c r="B955" s="260" t="s">
        <v>3140</v>
      </c>
      <c r="F955" s="252">
        <v>1</v>
      </c>
      <c r="G955" s="252" t="s">
        <v>868</v>
      </c>
      <c r="H955" s="296" t="s">
        <v>1982</v>
      </c>
      <c r="I955" s="252">
        <f>D576</f>
        <v>25</v>
      </c>
      <c r="J955" s="253" t="s">
        <v>868</v>
      </c>
      <c r="K955" s="252">
        <f t="shared" si="52"/>
        <v>25</v>
      </c>
      <c r="AG955" s="296" t="s">
        <v>2259</v>
      </c>
    </row>
    <row r="956" spans="1:33" ht="31.5" hidden="1">
      <c r="A956" s="881"/>
      <c r="B956" s="260" t="s">
        <v>3141</v>
      </c>
      <c r="K956" s="358" t="s">
        <v>1586</v>
      </c>
      <c r="AG956" s="296" t="s">
        <v>2259</v>
      </c>
    </row>
    <row r="957" spans="1:33" ht="31.5" hidden="1">
      <c r="A957" s="881"/>
      <c r="B957" s="260" t="s">
        <v>3142</v>
      </c>
      <c r="H957" s="296" t="s">
        <v>2153</v>
      </c>
      <c r="K957" s="252">
        <f>SUM(K945:K955)</f>
        <v>3977.7</v>
      </c>
      <c r="AG957" s="296" t="s">
        <v>2259</v>
      </c>
    </row>
    <row r="958" spans="1:33" ht="31.5" hidden="1">
      <c r="A958" s="881"/>
      <c r="B958" s="260" t="s">
        <v>3143</v>
      </c>
      <c r="K958" s="358" t="s">
        <v>1586</v>
      </c>
      <c r="AG958" s="296" t="s">
        <v>2259</v>
      </c>
    </row>
    <row r="959" spans="1:33" ht="31.5" hidden="1">
      <c r="A959" s="881"/>
      <c r="B959" s="260" t="s">
        <v>3193</v>
      </c>
      <c r="H959" s="296" t="s">
        <v>552</v>
      </c>
      <c r="K959" s="252">
        <f>K957/F949</f>
        <v>2425.4299999999998</v>
      </c>
      <c r="AG959" s="296" t="s">
        <v>2259</v>
      </c>
    </row>
    <row r="960" spans="1:33" ht="31.5" hidden="1">
      <c r="A960" s="881"/>
      <c r="B960" s="260" t="s">
        <v>3194</v>
      </c>
      <c r="K960" s="358" t="s">
        <v>2055</v>
      </c>
      <c r="AG960" s="296" t="s">
        <v>2259</v>
      </c>
    </row>
    <row r="961" spans="1:11" ht="31.5" hidden="1">
      <c r="A961" s="881"/>
      <c r="B961" s="260" t="s">
        <v>3195</v>
      </c>
      <c r="F961" s="253" t="s">
        <v>1337</v>
      </c>
      <c r="G961" s="252" t="s">
        <v>2251</v>
      </c>
      <c r="H961" s="296" t="s">
        <v>255</v>
      </c>
    </row>
    <row r="962" spans="1:11" ht="31.5" hidden="1">
      <c r="A962" s="881"/>
      <c r="B962" s="260" t="s">
        <v>2950</v>
      </c>
      <c r="H962" s="296" t="s">
        <v>256</v>
      </c>
    </row>
    <row r="963" spans="1:11" hidden="1">
      <c r="A963" s="881"/>
      <c r="B963" s="260" t="s">
        <v>2951</v>
      </c>
      <c r="H963" s="296" t="s">
        <v>1472</v>
      </c>
    </row>
    <row r="964" spans="1:11" hidden="1">
      <c r="A964" s="881"/>
      <c r="B964" s="260" t="s">
        <v>2952</v>
      </c>
      <c r="H964" s="358" t="s">
        <v>1586</v>
      </c>
    </row>
    <row r="965" spans="1:11" hidden="1">
      <c r="A965" s="881"/>
      <c r="B965" s="260" t="s">
        <v>2953</v>
      </c>
      <c r="H965" s="296" t="s">
        <v>2154</v>
      </c>
    </row>
    <row r="966" spans="1:11" hidden="1">
      <c r="A966" s="881"/>
      <c r="B966" s="260" t="s">
        <v>2954</v>
      </c>
      <c r="H966" s="296" t="s">
        <v>90</v>
      </c>
    </row>
    <row r="967" spans="1:11" hidden="1">
      <c r="A967" s="881"/>
      <c r="B967" s="260" t="s">
        <v>3168</v>
      </c>
      <c r="J967" s="253" t="s">
        <v>1586</v>
      </c>
    </row>
    <row r="968" spans="1:11" hidden="1">
      <c r="A968" s="881"/>
      <c r="B968" s="260" t="s">
        <v>3169</v>
      </c>
      <c r="H968" s="296" t="s">
        <v>2155</v>
      </c>
    </row>
    <row r="969" spans="1:11" hidden="1">
      <c r="A969" s="881"/>
      <c r="B969" s="260" t="s">
        <v>3170</v>
      </c>
      <c r="H969" s="296" t="s">
        <v>459</v>
      </c>
      <c r="K969" s="400">
        <v>1.1900000000000001E-2</v>
      </c>
    </row>
    <row r="970" spans="1:11" ht="31.5" hidden="1">
      <c r="A970" s="881"/>
      <c r="B970" s="260" t="s">
        <v>3171</v>
      </c>
      <c r="J970" s="253" t="s">
        <v>975</v>
      </c>
      <c r="K970" s="358" t="s">
        <v>1586</v>
      </c>
    </row>
    <row r="971" spans="1:11" ht="31.5" hidden="1">
      <c r="A971" s="881"/>
      <c r="B971" s="260" t="s">
        <v>2747</v>
      </c>
      <c r="H971" s="296" t="s">
        <v>460</v>
      </c>
      <c r="J971" s="559" t="s">
        <v>975</v>
      </c>
      <c r="K971" s="400">
        <v>1.18E-2</v>
      </c>
    </row>
    <row r="972" spans="1:11" ht="31.5" hidden="1">
      <c r="A972" s="881"/>
      <c r="B972" s="260" t="s">
        <v>2748</v>
      </c>
      <c r="H972" s="296" t="s">
        <v>249</v>
      </c>
      <c r="J972" s="253" t="s">
        <v>975</v>
      </c>
      <c r="K972" s="448" t="s">
        <v>1586</v>
      </c>
    </row>
    <row r="973" spans="1:11" hidden="1">
      <c r="A973" s="881"/>
      <c r="B973" s="260" t="s">
        <v>3098</v>
      </c>
    </row>
    <row r="974" spans="1:11" hidden="1">
      <c r="A974" s="881"/>
      <c r="B974" s="260" t="s">
        <v>3099</v>
      </c>
      <c r="F974" s="400">
        <v>1.14E-2</v>
      </c>
      <c r="G974" s="252" t="s">
        <v>869</v>
      </c>
      <c r="H974" s="296" t="s">
        <v>308</v>
      </c>
      <c r="I974" s="252">
        <f>C88</f>
        <v>65420</v>
      </c>
      <c r="J974" s="253" t="s">
        <v>869</v>
      </c>
      <c r="K974" s="252">
        <f>(F974*I974)</f>
        <v>745.79</v>
      </c>
    </row>
    <row r="975" spans="1:11" hidden="1">
      <c r="A975" s="881"/>
      <c r="B975" s="260" t="s">
        <v>3100</v>
      </c>
      <c r="F975" s="400">
        <v>1.1900000000000001E-2</v>
      </c>
      <c r="G975" s="252" t="s">
        <v>869</v>
      </c>
      <c r="H975" s="296" t="s">
        <v>309</v>
      </c>
      <c r="I975" s="252">
        <f>C89</f>
        <v>57165</v>
      </c>
      <c r="J975" s="253" t="s">
        <v>869</v>
      </c>
      <c r="K975" s="252">
        <f>(F975*I975)</f>
        <v>680.26</v>
      </c>
    </row>
    <row r="976" spans="1:11" hidden="1">
      <c r="A976" s="881"/>
      <c r="B976" s="260" t="s">
        <v>3358</v>
      </c>
      <c r="F976" s="400">
        <v>1.18E-2</v>
      </c>
      <c r="G976" s="252" t="s">
        <v>869</v>
      </c>
      <c r="H976" s="296" t="s">
        <v>310</v>
      </c>
      <c r="I976" s="252">
        <f>C90</f>
        <v>63870</v>
      </c>
      <c r="J976" s="253" t="s">
        <v>869</v>
      </c>
      <c r="K976" s="252">
        <f>(F976*I976)</f>
        <v>753.67</v>
      </c>
    </row>
    <row r="977" spans="1:33" hidden="1">
      <c r="A977" s="881"/>
      <c r="B977" s="260" t="s">
        <v>3359</v>
      </c>
      <c r="F977" s="400"/>
      <c r="H977" s="296" t="s">
        <v>446</v>
      </c>
      <c r="I977" s="296" t="s">
        <v>975</v>
      </c>
      <c r="K977" s="296" t="s">
        <v>975</v>
      </c>
    </row>
    <row r="978" spans="1:33" hidden="1">
      <c r="A978" s="881"/>
      <c r="B978" s="260" t="s">
        <v>2354</v>
      </c>
      <c r="F978" s="400">
        <v>1.2150000000000001</v>
      </c>
      <c r="G978" s="252" t="s">
        <v>609</v>
      </c>
      <c r="H978" s="296" t="s">
        <v>447</v>
      </c>
      <c r="I978" s="252">
        <f>C31</f>
        <v>342</v>
      </c>
      <c r="J978" s="253" t="s">
        <v>609</v>
      </c>
      <c r="K978" s="252">
        <f t="shared" ref="K978:K984" si="53">(F978*I978)</f>
        <v>415.53</v>
      </c>
    </row>
    <row r="979" spans="1:33" hidden="1">
      <c r="A979" s="881"/>
      <c r="B979" s="260" t="s">
        <v>2355</v>
      </c>
      <c r="F979" s="252">
        <v>1</v>
      </c>
      <c r="G979" s="252" t="s">
        <v>769</v>
      </c>
      <c r="H979" s="296" t="s">
        <v>1463</v>
      </c>
      <c r="I979" s="252">
        <f>C576</f>
        <v>30</v>
      </c>
      <c r="J979" s="253" t="s">
        <v>868</v>
      </c>
      <c r="K979" s="252">
        <f t="shared" si="53"/>
        <v>30</v>
      </c>
    </row>
    <row r="980" spans="1:33" hidden="1">
      <c r="A980" s="881"/>
      <c r="B980" s="260" t="s">
        <v>2356</v>
      </c>
      <c r="F980" s="252">
        <v>3</v>
      </c>
      <c r="G980" s="252" t="s">
        <v>868</v>
      </c>
      <c r="H980" s="296" t="s">
        <v>1464</v>
      </c>
      <c r="I980" s="252">
        <f>C278</f>
        <v>45</v>
      </c>
      <c r="J980" s="253" t="s">
        <v>868</v>
      </c>
      <c r="K980" s="252">
        <f t="shared" si="53"/>
        <v>135</v>
      </c>
    </row>
    <row r="981" spans="1:33" hidden="1">
      <c r="A981" s="881"/>
      <c r="B981" s="260" t="s">
        <v>2357</v>
      </c>
      <c r="F981" s="252">
        <v>2</v>
      </c>
      <c r="G981" s="252" t="s">
        <v>868</v>
      </c>
      <c r="H981" s="296" t="s">
        <v>1465</v>
      </c>
      <c r="I981" s="252">
        <f>C283</f>
        <v>30</v>
      </c>
      <c r="J981" s="253" t="s">
        <v>868</v>
      </c>
      <c r="K981" s="252">
        <f t="shared" si="53"/>
        <v>60</v>
      </c>
    </row>
    <row r="982" spans="1:33" hidden="1">
      <c r="A982" s="881"/>
      <c r="B982" s="260" t="s">
        <v>2887</v>
      </c>
      <c r="F982" s="252">
        <v>1</v>
      </c>
      <c r="G982" s="252" t="s">
        <v>868</v>
      </c>
      <c r="H982" s="296" t="s">
        <v>1466</v>
      </c>
      <c r="I982" s="252">
        <f>C285</f>
        <v>95</v>
      </c>
      <c r="J982" s="253" t="s">
        <v>868</v>
      </c>
      <c r="K982" s="252">
        <f t="shared" si="53"/>
        <v>95</v>
      </c>
    </row>
    <row r="983" spans="1:33" ht="31.5" hidden="1">
      <c r="A983" s="881"/>
      <c r="B983" s="260" t="s">
        <v>2888</v>
      </c>
      <c r="F983" s="252">
        <v>1</v>
      </c>
      <c r="G983" s="252" t="s">
        <v>868</v>
      </c>
      <c r="H983" s="296" t="s">
        <v>1467</v>
      </c>
      <c r="I983" s="252">
        <f>C287</f>
        <v>8</v>
      </c>
      <c r="J983" s="253" t="s">
        <v>868</v>
      </c>
      <c r="K983" s="252">
        <f t="shared" si="53"/>
        <v>8</v>
      </c>
    </row>
    <row r="984" spans="1:33" hidden="1">
      <c r="A984" s="881"/>
      <c r="B984" s="260" t="s">
        <v>2898</v>
      </c>
      <c r="F984" s="252">
        <v>1</v>
      </c>
      <c r="G984" s="252" t="s">
        <v>868</v>
      </c>
      <c r="H984" s="296" t="s">
        <v>1982</v>
      </c>
      <c r="I984" s="252">
        <f>D576</f>
        <v>25</v>
      </c>
      <c r="J984" s="253" t="s">
        <v>868</v>
      </c>
      <c r="K984" s="252">
        <f t="shared" si="53"/>
        <v>25</v>
      </c>
    </row>
    <row r="985" spans="1:33" hidden="1">
      <c r="A985" s="881"/>
      <c r="B985" s="260" t="s">
        <v>2899</v>
      </c>
      <c r="K985" s="358" t="s">
        <v>1586</v>
      </c>
    </row>
    <row r="986" spans="1:33" hidden="1">
      <c r="A986" s="881"/>
      <c r="B986" s="260" t="s">
        <v>3432</v>
      </c>
      <c r="H986" s="296" t="s">
        <v>461</v>
      </c>
      <c r="K986" s="252">
        <f>SUM(K974:K984)</f>
        <v>2948.25</v>
      </c>
    </row>
    <row r="987" spans="1:33" hidden="1">
      <c r="A987" s="881"/>
      <c r="B987" s="260" t="s">
        <v>3433</v>
      </c>
      <c r="K987" s="358" t="s">
        <v>1586</v>
      </c>
    </row>
    <row r="988" spans="1:33" hidden="1">
      <c r="A988" s="881"/>
      <c r="B988" s="260" t="s">
        <v>3434</v>
      </c>
      <c r="H988" s="296" t="s">
        <v>552</v>
      </c>
      <c r="K988" s="252">
        <f>K986/F978</f>
        <v>2426.54</v>
      </c>
    </row>
    <row r="989" spans="1:33" ht="31.5" hidden="1">
      <c r="A989" s="881"/>
      <c r="B989" s="260" t="s">
        <v>3196</v>
      </c>
      <c r="K989" s="358" t="s">
        <v>2055</v>
      </c>
    </row>
    <row r="990" spans="1:33" hidden="1">
      <c r="A990" s="881"/>
      <c r="B990" s="260" t="s">
        <v>3197</v>
      </c>
    </row>
    <row r="991" spans="1:33" hidden="1">
      <c r="A991" s="881"/>
      <c r="B991" s="260" t="s">
        <v>3198</v>
      </c>
      <c r="F991" s="253" t="s">
        <v>462</v>
      </c>
      <c r="G991" s="252" t="s">
        <v>2251</v>
      </c>
      <c r="H991" s="296" t="s">
        <v>2177</v>
      </c>
      <c r="AG991" s="296" t="s">
        <v>2259</v>
      </c>
    </row>
    <row r="992" spans="1:33" hidden="1">
      <c r="A992" s="881"/>
      <c r="B992" s="260" t="s">
        <v>3199</v>
      </c>
      <c r="H992" s="296" t="s">
        <v>2179</v>
      </c>
      <c r="AG992" s="296" t="s">
        <v>2259</v>
      </c>
    </row>
    <row r="993" spans="1:33" hidden="1">
      <c r="A993" s="881"/>
      <c r="B993" s="260" t="s">
        <v>3200</v>
      </c>
      <c r="H993" s="296" t="s">
        <v>2180</v>
      </c>
      <c r="AG993" s="296" t="s">
        <v>2259</v>
      </c>
    </row>
    <row r="994" spans="1:33" hidden="1">
      <c r="A994" s="881"/>
      <c r="B994" s="260" t="s">
        <v>3201</v>
      </c>
      <c r="H994" s="296" t="s">
        <v>2181</v>
      </c>
      <c r="AG994" s="296" t="s">
        <v>2259</v>
      </c>
    </row>
    <row r="995" spans="1:33" hidden="1">
      <c r="A995" s="881"/>
      <c r="B995" s="260" t="s">
        <v>3202</v>
      </c>
      <c r="H995" s="296" t="s">
        <v>2182</v>
      </c>
      <c r="AG995" s="296" t="s">
        <v>2259</v>
      </c>
    </row>
    <row r="996" spans="1:33" hidden="1">
      <c r="A996" s="881"/>
      <c r="B996" s="260" t="s">
        <v>2587</v>
      </c>
      <c r="H996" s="296" t="s">
        <v>2183</v>
      </c>
      <c r="AG996" s="296" t="s">
        <v>2259</v>
      </c>
    </row>
    <row r="997" spans="1:33" hidden="1">
      <c r="A997" s="881"/>
      <c r="B997" s="260" t="s">
        <v>2588</v>
      </c>
      <c r="H997" s="358" t="s">
        <v>1586</v>
      </c>
      <c r="AG997" s="296" t="s">
        <v>2259</v>
      </c>
    </row>
    <row r="998" spans="1:33" hidden="1">
      <c r="A998" s="881"/>
      <c r="B998" s="260" t="s">
        <v>2589</v>
      </c>
      <c r="H998" s="296" t="s">
        <v>644</v>
      </c>
      <c r="AG998" s="296" t="s">
        <v>2259</v>
      </c>
    </row>
    <row r="999" spans="1:33" ht="31.5" hidden="1">
      <c r="A999" s="881"/>
      <c r="B999" s="260" t="s">
        <v>2590</v>
      </c>
      <c r="H999" s="296" t="s">
        <v>2184</v>
      </c>
      <c r="AG999" s="296" t="s">
        <v>2259</v>
      </c>
    </row>
    <row r="1000" spans="1:33" ht="31.5" hidden="1">
      <c r="A1000" s="881"/>
      <c r="B1000" s="260" t="s">
        <v>2591</v>
      </c>
      <c r="J1000" s="253" t="s">
        <v>1586</v>
      </c>
      <c r="AG1000" s="296" t="s">
        <v>2259</v>
      </c>
    </row>
    <row r="1001" spans="1:33" ht="31.5" hidden="1">
      <c r="A1001" s="881"/>
      <c r="B1001" s="260" t="s">
        <v>2592</v>
      </c>
      <c r="H1001" s="296" t="s">
        <v>2185</v>
      </c>
      <c r="AG1001" s="296" t="s">
        <v>2259</v>
      </c>
    </row>
    <row r="1002" spans="1:33" ht="31.5" hidden="1">
      <c r="A1002" s="881"/>
      <c r="B1002" s="260" t="s">
        <v>2593</v>
      </c>
      <c r="H1002" s="296" t="s">
        <v>975</v>
      </c>
      <c r="I1002" s="296" t="s">
        <v>975</v>
      </c>
      <c r="K1002" s="443" t="s">
        <v>975</v>
      </c>
      <c r="AG1002" s="296" t="s">
        <v>2259</v>
      </c>
    </row>
    <row r="1003" spans="1:33" hidden="1">
      <c r="A1003" s="881"/>
      <c r="B1003" s="260" t="s">
        <v>2594</v>
      </c>
      <c r="J1003" s="253" t="s">
        <v>975</v>
      </c>
      <c r="K1003" s="296" t="s">
        <v>975</v>
      </c>
      <c r="AG1003" s="296" t="s">
        <v>2259</v>
      </c>
    </row>
    <row r="1004" spans="1:33" hidden="1">
      <c r="A1004" s="881"/>
      <c r="B1004" s="260" t="s">
        <v>2595</v>
      </c>
      <c r="H1004" s="296" t="s">
        <v>2111</v>
      </c>
      <c r="J1004" s="559" t="s">
        <v>975</v>
      </c>
      <c r="K1004" s="443" t="s">
        <v>975</v>
      </c>
      <c r="AG1004" s="296" t="s">
        <v>2259</v>
      </c>
    </row>
    <row r="1005" spans="1:33" hidden="1">
      <c r="A1005" s="881"/>
      <c r="B1005" s="260" t="s">
        <v>2576</v>
      </c>
      <c r="H1005" s="296" t="s">
        <v>111</v>
      </c>
      <c r="K1005" s="443" t="s">
        <v>1740</v>
      </c>
      <c r="AG1005" s="296" t="s">
        <v>2259</v>
      </c>
    </row>
    <row r="1006" spans="1:33" hidden="1">
      <c r="A1006" s="881"/>
      <c r="B1006" s="260" t="s">
        <v>2577</v>
      </c>
      <c r="K1006" s="296" t="s">
        <v>975</v>
      </c>
      <c r="AG1006" s="296" t="s">
        <v>2259</v>
      </c>
    </row>
    <row r="1007" spans="1:33" hidden="1">
      <c r="A1007" s="881"/>
      <c r="B1007" s="260" t="s">
        <v>2578</v>
      </c>
      <c r="K1007" s="443" t="s">
        <v>975</v>
      </c>
      <c r="AG1007" s="296" t="s">
        <v>2259</v>
      </c>
    </row>
    <row r="1008" spans="1:33" hidden="1">
      <c r="A1008" s="881"/>
      <c r="B1008" s="260" t="s">
        <v>2987</v>
      </c>
      <c r="K1008" s="296" t="s">
        <v>975</v>
      </c>
      <c r="AG1008" s="296" t="s">
        <v>2259</v>
      </c>
    </row>
    <row r="1009" spans="1:33" hidden="1">
      <c r="A1009" s="881"/>
      <c r="B1009" s="260" t="s">
        <v>2988</v>
      </c>
      <c r="F1009" s="253" t="s">
        <v>1473</v>
      </c>
      <c r="H1009" s="296" t="s">
        <v>720</v>
      </c>
      <c r="K1009" s="296" t="s">
        <v>975</v>
      </c>
      <c r="AG1009" s="296" t="s">
        <v>2259</v>
      </c>
    </row>
    <row r="1010" spans="1:33" hidden="1">
      <c r="A1010" s="881"/>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5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6110</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6111</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6121</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6122</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6123</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6124</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6125</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49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6127</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00">
        <v>1</v>
      </c>
      <c r="G1858" s="500" t="s">
        <v>868</v>
      </c>
      <c r="H1858" s="389" t="s">
        <v>2663</v>
      </c>
      <c r="I1858" s="500">
        <f>(C595)</f>
        <v>1050</v>
      </c>
      <c r="J1858" s="500" t="s">
        <v>868</v>
      </c>
      <c r="K1858" s="50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6128</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00">
        <v>1</v>
      </c>
      <c r="G1928" s="500" t="s">
        <v>783</v>
      </c>
      <c r="H1928" s="389" t="s">
        <v>1122</v>
      </c>
      <c r="I1928" s="500">
        <f>C591</f>
        <v>1700</v>
      </c>
      <c r="J1928" s="882" t="s">
        <v>783</v>
      </c>
      <c r="K1928" s="50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6129</v>
      </c>
    </row>
    <row r="1944" spans="1:11" hidden="1">
      <c r="A1944" s="251"/>
      <c r="H1944" s="296" t="s">
        <v>201</v>
      </c>
    </row>
    <row r="1945" spans="1:11" hidden="1">
      <c r="A1945" s="251"/>
      <c r="H1945" s="296" t="s">
        <v>1772</v>
      </c>
    </row>
    <row r="1946" spans="1:11" hidden="1">
      <c r="A1946" s="251"/>
      <c r="H1946" s="358" t="s">
        <v>1586</v>
      </c>
    </row>
    <row r="1947" spans="1:11" ht="63" hidden="1">
      <c r="A1947" s="251"/>
      <c r="F1947" s="500">
        <v>1</v>
      </c>
      <c r="G1947" s="500" t="s">
        <v>783</v>
      </c>
      <c r="H1947" s="389" t="s">
        <v>1122</v>
      </c>
      <c r="I1947" s="252">
        <f>E591</f>
        <v>2000</v>
      </c>
      <c r="J1947" s="882" t="s">
        <v>783</v>
      </c>
      <c r="K1947" s="50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883"/>
      <c r="G2339" s="883"/>
      <c r="H2339" s="883"/>
      <c r="I2339" s="883"/>
      <c r="J2339" s="883"/>
      <c r="K2339" s="883"/>
      <c r="L2339" s="883"/>
    </row>
    <row r="2340" spans="1:12" hidden="1">
      <c r="A2340" s="251"/>
      <c r="J2340" s="252"/>
    </row>
    <row r="2341" spans="1:12" ht="18" hidden="1">
      <c r="A2341" s="251"/>
      <c r="E2341" s="1151" t="s">
        <v>2781</v>
      </c>
      <c r="F2341" s="1151"/>
      <c r="G2341" s="1151"/>
      <c r="H2341" s="1151"/>
      <c r="I2341" s="1151"/>
      <c r="J2341" s="1151"/>
      <c r="K2341" s="1151"/>
      <c r="L2341" s="884"/>
    </row>
    <row r="2342" spans="1:12" ht="18" hidden="1">
      <c r="A2342" s="251"/>
      <c r="J2342" s="252"/>
      <c r="L2342" s="885"/>
    </row>
    <row r="2343" spans="1:12" ht="18" hidden="1">
      <c r="A2343" s="251"/>
      <c r="E2343" s="512"/>
      <c r="F2343" s="884" t="s">
        <v>1038</v>
      </c>
      <c r="G2343" s="883"/>
      <c r="H2343" s="310" t="s">
        <v>1777</v>
      </c>
      <c r="I2343" s="884" t="s">
        <v>97</v>
      </c>
      <c r="J2343" s="310" t="s">
        <v>2782</v>
      </c>
      <c r="K2343" s="884" t="s">
        <v>974</v>
      </c>
      <c r="L2343" s="886"/>
    </row>
    <row r="2344" spans="1:12" ht="18" hidden="1">
      <c r="A2344" s="251"/>
      <c r="E2344" s="887">
        <v>18.100000000000001</v>
      </c>
      <c r="F2344" s="888" t="s">
        <v>2783</v>
      </c>
      <c r="H2344" s="889" t="s">
        <v>6332</v>
      </c>
      <c r="I2344" s="885"/>
      <c r="J2344" s="885"/>
      <c r="K2344" s="885"/>
      <c r="L2344" s="886"/>
    </row>
    <row r="2345" spans="1:12" ht="18" hidden="1">
      <c r="A2345" s="251"/>
      <c r="E2345" s="512"/>
      <c r="F2345" s="886"/>
      <c r="G2345" s="512"/>
      <c r="H2345" s="890" t="s">
        <v>2784</v>
      </c>
      <c r="I2345" s="886"/>
      <c r="J2345" s="512"/>
      <c r="K2345" s="886"/>
      <c r="L2345" s="886"/>
    </row>
    <row r="2346" spans="1:12" ht="20.25" hidden="1">
      <c r="A2346" s="251"/>
      <c r="E2346" s="512"/>
      <c r="F2346" s="886"/>
      <c r="G2346" s="512"/>
      <c r="H2346" s="890" t="s">
        <v>6333</v>
      </c>
      <c r="I2346" s="886"/>
      <c r="J2346" s="512"/>
      <c r="K2346" s="886"/>
      <c r="L2346" s="886"/>
    </row>
    <row r="2347" spans="1:12" ht="20.25" hidden="1">
      <c r="A2347" s="251"/>
      <c r="E2347" s="512"/>
      <c r="F2347" s="886"/>
      <c r="G2347" s="512"/>
      <c r="H2347" s="890" t="s">
        <v>6334</v>
      </c>
      <c r="I2347" s="886"/>
      <c r="J2347" s="512"/>
      <c r="K2347" s="886"/>
      <c r="L2347" s="886"/>
    </row>
    <row r="2348" spans="1:12" ht="18" hidden="1">
      <c r="A2348" s="251"/>
      <c r="E2348" s="512"/>
      <c r="F2348" s="886"/>
      <c r="G2348" s="512"/>
      <c r="H2348" s="890" t="s">
        <v>2785</v>
      </c>
      <c r="I2348" s="886"/>
      <c r="J2348" s="512"/>
      <c r="K2348" s="886"/>
      <c r="L2348" s="886"/>
    </row>
    <row r="2349" spans="1:12" ht="38.25" hidden="1">
      <c r="A2349" s="251"/>
      <c r="E2349" s="512"/>
      <c r="F2349" s="886"/>
      <c r="G2349" s="512"/>
      <c r="H2349" s="890" t="s">
        <v>6335</v>
      </c>
      <c r="I2349" s="886"/>
      <c r="J2349" s="512"/>
      <c r="K2349" s="886"/>
      <c r="L2349" s="886"/>
    </row>
    <row r="2350" spans="1:12" ht="72" hidden="1">
      <c r="A2350" s="251"/>
      <c r="E2350" s="512"/>
      <c r="F2350" s="886"/>
      <c r="G2350" s="512"/>
      <c r="H2350" s="890" t="s">
        <v>2786</v>
      </c>
      <c r="I2350" s="886"/>
      <c r="J2350" s="512"/>
      <c r="K2350" s="886"/>
      <c r="L2350" s="886"/>
    </row>
    <row r="2351" spans="1:12" ht="36" hidden="1">
      <c r="A2351" s="251"/>
      <c r="E2351" s="512"/>
      <c r="F2351" s="886"/>
      <c r="G2351" s="512"/>
      <c r="H2351" s="890" t="s">
        <v>2787</v>
      </c>
      <c r="I2351" s="886"/>
      <c r="J2351" s="512"/>
      <c r="K2351" s="886"/>
      <c r="L2351" s="886"/>
    </row>
    <row r="2352" spans="1:12" ht="38.25" hidden="1">
      <c r="A2352" s="251"/>
      <c r="E2352" s="512"/>
      <c r="F2352" s="886"/>
      <c r="G2352" s="512"/>
      <c r="H2352" s="890" t="s">
        <v>6336</v>
      </c>
      <c r="I2352" s="886"/>
      <c r="J2352" s="512"/>
      <c r="K2352" s="886"/>
      <c r="L2352" s="886"/>
    </row>
    <row r="2353" spans="1:12" ht="18" hidden="1">
      <c r="A2353" s="251"/>
      <c r="E2353" s="512"/>
      <c r="F2353" s="886"/>
      <c r="G2353" s="512"/>
      <c r="H2353" s="512"/>
      <c r="I2353" s="886"/>
      <c r="J2353" s="512"/>
      <c r="K2353" s="886"/>
      <c r="L2353" s="886"/>
    </row>
    <row r="2354" spans="1:12" ht="20.25" hidden="1">
      <c r="A2354" s="251"/>
      <c r="E2354" s="512"/>
      <c r="F2354" s="891">
        <v>62</v>
      </c>
      <c r="G2354" s="892" t="s">
        <v>6337</v>
      </c>
      <c r="H2354" s="893" t="s">
        <v>3190</v>
      </c>
      <c r="I2354" s="891">
        <f>K2378</f>
        <v>217.41</v>
      </c>
      <c r="J2354" s="892" t="s">
        <v>6337</v>
      </c>
      <c r="K2354" s="886">
        <f>I2354*F2354</f>
        <v>13479.42</v>
      </c>
      <c r="L2354" s="886"/>
    </row>
    <row r="2355" spans="1:12" ht="20.25" hidden="1">
      <c r="A2355" s="251"/>
      <c r="E2355" s="512"/>
      <c r="F2355" s="891">
        <v>121.64</v>
      </c>
      <c r="G2355" s="892" t="s">
        <v>6337</v>
      </c>
      <c r="H2355" s="893" t="s">
        <v>3191</v>
      </c>
      <c r="I2355" s="891">
        <f>I2383</f>
        <v>168.13</v>
      </c>
      <c r="J2355" s="892" t="s">
        <v>6338</v>
      </c>
      <c r="K2355" s="886">
        <f>I2355*F2355</f>
        <v>20451.330000000002</v>
      </c>
      <c r="L2355" s="894"/>
    </row>
    <row r="2356" spans="1:12" ht="20.25" hidden="1">
      <c r="A2356" s="251"/>
      <c r="E2356" s="512"/>
      <c r="F2356" s="886"/>
      <c r="G2356" s="512"/>
      <c r="H2356" s="893" t="s">
        <v>6339</v>
      </c>
      <c r="I2356" s="886"/>
      <c r="J2356" s="512"/>
      <c r="K2356" s="886">
        <f>SUM(K2354:K2355)</f>
        <v>33930.75</v>
      </c>
      <c r="L2356" s="895"/>
    </row>
    <row r="2357" spans="1:12" ht="20.25" hidden="1">
      <c r="A2357" s="251"/>
      <c r="E2357" s="512"/>
      <c r="F2357" s="886"/>
      <c r="G2357" s="512"/>
      <c r="H2357" s="893" t="s">
        <v>6340</v>
      </c>
      <c r="I2357" s="886"/>
      <c r="J2357" s="512"/>
      <c r="K2357" s="894">
        <f>K2356/F2354</f>
        <v>547.27</v>
      </c>
      <c r="L2357" s="886"/>
    </row>
    <row r="2358" spans="1:12" ht="18" hidden="1">
      <c r="A2358" s="251"/>
      <c r="E2358" s="512"/>
      <c r="F2358" s="886"/>
      <c r="G2358" s="512"/>
      <c r="H2358" s="892"/>
      <c r="I2358" s="886"/>
      <c r="J2358" s="512"/>
      <c r="K2358" s="895"/>
      <c r="L2358" s="886"/>
    </row>
    <row r="2359" spans="1:12" ht="18" hidden="1">
      <c r="A2359" s="251"/>
      <c r="E2359" s="896">
        <v>18.100000000000001</v>
      </c>
      <c r="F2359" s="888" t="s">
        <v>3192</v>
      </c>
      <c r="G2359" s="512"/>
      <c r="H2359" s="897" t="s">
        <v>2733</v>
      </c>
      <c r="I2359" s="886"/>
      <c r="J2359" s="512"/>
      <c r="K2359" s="886"/>
      <c r="L2359" s="886"/>
    </row>
    <row r="2360" spans="1:12" ht="18" hidden="1">
      <c r="A2360" s="251"/>
      <c r="E2360" s="512"/>
      <c r="F2360" s="886"/>
      <c r="G2360" s="512"/>
      <c r="H2360" s="512"/>
      <c r="I2360" s="886"/>
      <c r="J2360" s="512"/>
      <c r="K2360" s="886"/>
      <c r="L2360" s="886"/>
    </row>
    <row r="2361" spans="1:12" ht="18" hidden="1">
      <c r="A2361" s="251"/>
      <c r="E2361" s="512"/>
      <c r="F2361" s="891">
        <v>13.46</v>
      </c>
      <c r="G2361" s="892" t="s">
        <v>1645</v>
      </c>
      <c r="H2361" s="890" t="s">
        <v>2734</v>
      </c>
      <c r="I2361" s="891">
        <f>I706</f>
        <v>30</v>
      </c>
      <c r="J2361" s="892" t="s">
        <v>1645</v>
      </c>
      <c r="K2361" s="886">
        <f>I2361*F2361</f>
        <v>403.8</v>
      </c>
      <c r="L2361" s="886"/>
    </row>
    <row r="2362" spans="1:12" ht="18" hidden="1">
      <c r="A2362" s="251"/>
      <c r="E2362" s="512"/>
      <c r="F2362" s="891">
        <v>4</v>
      </c>
      <c r="G2362" s="892" t="s">
        <v>1645</v>
      </c>
      <c r="H2362" s="890" t="s">
        <v>2735</v>
      </c>
      <c r="I2362" s="891">
        <f>I708</f>
        <v>30</v>
      </c>
      <c r="J2362" s="892" t="s">
        <v>1645</v>
      </c>
      <c r="K2362" s="886">
        <f>I2362*F2362</f>
        <v>120</v>
      </c>
      <c r="L2362" s="898"/>
    </row>
    <row r="2363" spans="1:12" ht="18" hidden="1">
      <c r="A2363" s="251"/>
      <c r="E2363" s="512"/>
      <c r="F2363" s="891">
        <v>1</v>
      </c>
      <c r="G2363" s="892" t="s">
        <v>2736</v>
      </c>
      <c r="H2363" s="890" t="s">
        <v>3435</v>
      </c>
      <c r="I2363" s="891">
        <v>40</v>
      </c>
      <c r="J2363" s="892" t="s">
        <v>449</v>
      </c>
      <c r="K2363" s="886">
        <f>I2363*F2363</f>
        <v>40</v>
      </c>
      <c r="L2363" s="886"/>
    </row>
    <row r="2364" spans="1:12" ht="18" hidden="1">
      <c r="A2364" s="251"/>
      <c r="E2364" s="512"/>
      <c r="F2364" s="886"/>
      <c r="G2364" s="512"/>
      <c r="H2364" s="899" t="s">
        <v>3436</v>
      </c>
      <c r="I2364" s="886"/>
      <c r="J2364" s="512"/>
      <c r="K2364" s="898">
        <f>SUM(K2361:K2363)</f>
        <v>563.79999999999995</v>
      </c>
      <c r="L2364" s="886"/>
    </row>
    <row r="2365" spans="1:12" ht="18" hidden="1">
      <c r="A2365" s="251"/>
      <c r="E2365" s="512"/>
      <c r="F2365" s="886"/>
      <c r="G2365" s="512"/>
      <c r="H2365" s="899" t="s">
        <v>3437</v>
      </c>
      <c r="I2365" s="895">
        <f>K2364/40</f>
        <v>14.1</v>
      </c>
      <c r="J2365" s="512"/>
      <c r="K2365" s="886"/>
      <c r="L2365" s="886"/>
    </row>
    <row r="2366" spans="1:12" ht="18" hidden="1">
      <c r="A2366" s="251"/>
      <c r="E2366" s="512"/>
      <c r="F2366" s="886"/>
      <c r="G2366" s="512"/>
      <c r="H2366" s="512"/>
      <c r="I2366" s="886"/>
      <c r="J2366" s="512"/>
      <c r="K2366" s="886"/>
      <c r="L2366" s="886"/>
    </row>
    <row r="2367" spans="1:12" ht="18" hidden="1">
      <c r="A2367" s="251"/>
      <c r="E2367" s="512"/>
      <c r="F2367" s="891">
        <v>19</v>
      </c>
      <c r="G2367" s="892" t="s">
        <v>1394</v>
      </c>
      <c r="H2367" s="512" t="s">
        <v>3438</v>
      </c>
      <c r="I2367" s="891">
        <f>I2365</f>
        <v>14.1</v>
      </c>
      <c r="J2367" s="892" t="s">
        <v>1760</v>
      </c>
      <c r="K2367" s="886">
        <f>I2367*F2367</f>
        <v>267.89999999999998</v>
      </c>
      <c r="L2367" s="886"/>
    </row>
    <row r="2368" spans="1:12" ht="18" hidden="1">
      <c r="A2368" s="251"/>
      <c r="E2368" s="512"/>
      <c r="F2368" s="891">
        <v>0.12</v>
      </c>
      <c r="G2368" s="892" t="s">
        <v>367</v>
      </c>
      <c r="H2368" s="512" t="s">
        <v>3439</v>
      </c>
      <c r="I2368" s="891">
        <f>C268/5</f>
        <v>1879</v>
      </c>
      <c r="J2368" s="892" t="s">
        <v>367</v>
      </c>
      <c r="K2368" s="886">
        <f>I2368*F2368</f>
        <v>225.48</v>
      </c>
      <c r="L2368" s="886"/>
    </row>
    <row r="2369" spans="1:12" ht="18" hidden="1">
      <c r="A2369" s="251"/>
      <c r="E2369" s="512"/>
      <c r="F2369" s="891">
        <v>98.5</v>
      </c>
      <c r="G2369" s="892" t="s">
        <v>3440</v>
      </c>
      <c r="H2369" s="512" t="s">
        <v>2603</v>
      </c>
      <c r="I2369" s="891">
        <f>C269/5</f>
        <v>3</v>
      </c>
      <c r="J2369" s="892" t="s">
        <v>3440</v>
      </c>
      <c r="K2369" s="886">
        <f>I2369*F2369</f>
        <v>295.5</v>
      </c>
      <c r="L2369" s="900"/>
    </row>
    <row r="2370" spans="1:12" ht="18" hidden="1">
      <c r="A2370" s="251"/>
      <c r="E2370" s="512"/>
      <c r="F2370" s="1152" t="s">
        <v>449</v>
      </c>
      <c r="G2370" s="1152"/>
      <c r="H2370" s="512" t="s">
        <v>2604</v>
      </c>
      <c r="I2370" s="891">
        <v>11</v>
      </c>
      <c r="J2370" s="892" t="s">
        <v>449</v>
      </c>
      <c r="K2370" s="886">
        <f>I2370</f>
        <v>11</v>
      </c>
      <c r="L2370" s="900"/>
    </row>
    <row r="2371" spans="1:12" ht="20.25" hidden="1">
      <c r="A2371" s="251"/>
      <c r="E2371" s="512"/>
      <c r="F2371" s="891">
        <v>3.8</v>
      </c>
      <c r="G2371" s="892" t="s">
        <v>1394</v>
      </c>
      <c r="H2371" s="512" t="s">
        <v>6341</v>
      </c>
      <c r="I2371" s="891">
        <f>C16</f>
        <v>150</v>
      </c>
      <c r="J2371" s="892" t="s">
        <v>1394</v>
      </c>
      <c r="K2371" s="900">
        <f>I2371*F2371</f>
        <v>570</v>
      </c>
      <c r="L2371" s="900"/>
    </row>
    <row r="2372" spans="1:12" ht="20.25" hidden="1">
      <c r="A2372" s="251"/>
      <c r="E2372" s="512"/>
      <c r="F2372" s="891">
        <v>5.4</v>
      </c>
      <c r="G2372" s="892" t="s">
        <v>1394</v>
      </c>
      <c r="H2372" s="512" t="s">
        <v>6342</v>
      </c>
      <c r="I2372" s="891">
        <f>C12</f>
        <v>95</v>
      </c>
      <c r="J2372" s="892" t="s">
        <v>1394</v>
      </c>
      <c r="K2372" s="900">
        <f>I2372*F2372</f>
        <v>513</v>
      </c>
      <c r="L2372" s="886"/>
    </row>
    <row r="2373" spans="1:12" ht="20.25" hidden="1">
      <c r="A2373" s="251"/>
      <c r="E2373" s="512"/>
      <c r="F2373" s="891">
        <v>1</v>
      </c>
      <c r="G2373" s="892" t="s">
        <v>1394</v>
      </c>
      <c r="H2373" s="512" t="s">
        <v>6343</v>
      </c>
      <c r="I2373" s="891">
        <f>D17</f>
        <v>120</v>
      </c>
      <c r="J2373" s="892" t="s">
        <v>1394</v>
      </c>
      <c r="K2373" s="900">
        <f>I2373*F2373</f>
        <v>120</v>
      </c>
      <c r="L2373" s="901"/>
    </row>
    <row r="2374" spans="1:12" ht="18" hidden="1">
      <c r="A2374" s="251"/>
      <c r="E2374" s="512"/>
      <c r="F2374" s="1152" t="s">
        <v>449</v>
      </c>
      <c r="G2374" s="1152"/>
      <c r="H2374" s="512" t="s">
        <v>2605</v>
      </c>
      <c r="I2374" s="1152" t="s">
        <v>449</v>
      </c>
      <c r="J2374" s="1152"/>
      <c r="K2374" s="886">
        <v>10</v>
      </c>
      <c r="L2374" s="895"/>
    </row>
    <row r="2375" spans="1:12" ht="18" hidden="1">
      <c r="A2375" s="251"/>
      <c r="E2375" s="512"/>
      <c r="F2375" s="891">
        <v>19</v>
      </c>
      <c r="G2375" s="892" t="s">
        <v>1760</v>
      </c>
      <c r="H2375" s="512" t="s">
        <v>2606</v>
      </c>
      <c r="I2375" s="891">
        <v>2</v>
      </c>
      <c r="J2375" s="892" t="s">
        <v>449</v>
      </c>
      <c r="K2375" s="901">
        <f>I2375*F2375</f>
        <v>38</v>
      </c>
      <c r="L2375" s="886"/>
    </row>
    <row r="2376" spans="1:12" ht="18" hidden="1">
      <c r="A2376" s="251"/>
      <c r="E2376" s="512"/>
      <c r="F2376" s="886"/>
      <c r="G2376" s="512"/>
      <c r="H2376" s="512"/>
      <c r="I2376" s="886"/>
      <c r="J2376" s="512"/>
      <c r="K2376" s="895">
        <f>SUM(K2367:K2375)</f>
        <v>2050.88</v>
      </c>
      <c r="L2376" s="895"/>
    </row>
    <row r="2377" spans="1:12" ht="20.25" hidden="1">
      <c r="A2377" s="251"/>
      <c r="E2377" s="512"/>
      <c r="F2377" s="886"/>
      <c r="G2377" s="512"/>
      <c r="H2377" s="899" t="s">
        <v>6344</v>
      </c>
      <c r="I2377" s="895">
        <f>K2376/10</f>
        <v>205.09</v>
      </c>
      <c r="J2377" s="512"/>
      <c r="K2377" s="886"/>
      <c r="L2377" s="886"/>
    </row>
    <row r="2378" spans="1:12" ht="18" hidden="1">
      <c r="A2378" s="251"/>
      <c r="E2378" s="512"/>
      <c r="F2378" s="886"/>
      <c r="G2378" s="512"/>
      <c r="H2378" s="310" t="s">
        <v>2607</v>
      </c>
      <c r="I2378" s="895">
        <f>I2377</f>
        <v>205.09</v>
      </c>
      <c r="J2378" s="461">
        <f>I2393</f>
        <v>12.32</v>
      </c>
      <c r="K2378" s="895">
        <f>I2378+J2378</f>
        <v>217.41</v>
      </c>
      <c r="L2378" s="886"/>
    </row>
    <row r="2379" spans="1:12" ht="36" hidden="1">
      <c r="A2379" s="251"/>
      <c r="E2379" s="896">
        <v>18.100000000000001</v>
      </c>
      <c r="F2379" s="888" t="s">
        <v>2608</v>
      </c>
      <c r="G2379" s="512"/>
      <c r="H2379" s="902" t="s">
        <v>3370</v>
      </c>
      <c r="I2379" s="886"/>
      <c r="J2379" s="512"/>
      <c r="K2379" s="886"/>
      <c r="L2379" s="886"/>
    </row>
    <row r="2380" spans="1:12" ht="18" hidden="1">
      <c r="A2380" s="251"/>
      <c r="E2380" s="512"/>
      <c r="F2380" s="886"/>
      <c r="G2380" s="512"/>
      <c r="H2380" s="512" t="s">
        <v>3371</v>
      </c>
      <c r="I2380" s="891">
        <f>K2376</f>
        <v>2050.88</v>
      </c>
      <c r="J2380" s="512"/>
      <c r="K2380" s="886"/>
      <c r="L2380" s="886"/>
    </row>
    <row r="2381" spans="1:12" ht="18" hidden="1">
      <c r="A2381" s="251"/>
      <c r="E2381" s="512"/>
      <c r="F2381" s="886"/>
      <c r="G2381" s="512"/>
      <c r="H2381" s="512" t="s">
        <v>2603</v>
      </c>
      <c r="I2381" s="891">
        <f>K2391</f>
        <v>369.6</v>
      </c>
      <c r="J2381" s="896" t="s">
        <v>3372</v>
      </c>
      <c r="K2381" s="886"/>
      <c r="L2381" s="886"/>
    </row>
    <row r="2382" spans="1:12" ht="18" hidden="1">
      <c r="A2382" s="251"/>
      <c r="E2382" s="512"/>
      <c r="F2382" s="886"/>
      <c r="G2382" s="512"/>
      <c r="H2382" s="512"/>
      <c r="I2382" s="888">
        <f>I2380-I2381</f>
        <v>1681.28</v>
      </c>
      <c r="J2382" s="512"/>
      <c r="K2382" s="886"/>
      <c r="L2382" s="886"/>
    </row>
    <row r="2383" spans="1:12" ht="20.25" hidden="1">
      <c r="A2383" s="251"/>
      <c r="E2383" s="512"/>
      <c r="F2383" s="886"/>
      <c r="G2383" s="512"/>
      <c r="H2383" s="899" t="s">
        <v>6344</v>
      </c>
      <c r="I2383" s="888">
        <f>I2382/10</f>
        <v>168.13</v>
      </c>
      <c r="J2383" s="512"/>
      <c r="K2383" s="886"/>
      <c r="L2383" s="886"/>
    </row>
    <row r="2384" spans="1:12" ht="18" hidden="1">
      <c r="A2384" s="251"/>
      <c r="E2384" s="512"/>
      <c r="F2384" s="886"/>
      <c r="G2384" s="512"/>
      <c r="H2384" s="512"/>
      <c r="I2384" s="886"/>
      <c r="J2384" s="512"/>
      <c r="K2384" s="886"/>
      <c r="L2384" s="886"/>
    </row>
    <row r="2385" spans="1:12" ht="18" hidden="1">
      <c r="A2385" s="251"/>
      <c r="E2385" s="512"/>
      <c r="F2385" s="886"/>
      <c r="G2385" s="512"/>
      <c r="H2385" s="896" t="s">
        <v>3373</v>
      </c>
      <c r="I2385" s="886"/>
      <c r="J2385" s="512"/>
      <c r="K2385" s="886"/>
      <c r="L2385" s="891"/>
    </row>
    <row r="2386" spans="1:12" ht="36" hidden="1">
      <c r="A2386" s="251"/>
      <c r="E2386" s="512"/>
      <c r="F2386" s="886"/>
      <c r="G2386" s="512"/>
      <c r="H2386" s="902" t="s">
        <v>2360</v>
      </c>
      <c r="I2386" s="886"/>
      <c r="J2386" s="512"/>
      <c r="K2386" s="886"/>
      <c r="L2386" s="891"/>
    </row>
    <row r="2387" spans="1:12" ht="36" hidden="1">
      <c r="A2387" s="251"/>
      <c r="E2387" s="512"/>
      <c r="F2387" s="891">
        <v>98.5</v>
      </c>
      <c r="G2387" s="892" t="s">
        <v>3440</v>
      </c>
      <c r="H2387" s="903" t="s">
        <v>2361</v>
      </c>
      <c r="I2387" s="891">
        <f>I2369</f>
        <v>3</v>
      </c>
      <c r="J2387" s="892" t="s">
        <v>3440</v>
      </c>
      <c r="K2387" s="891">
        <f>I2387*F2387</f>
        <v>295.5</v>
      </c>
      <c r="L2387" s="891"/>
    </row>
    <row r="2388" spans="1:12" ht="20.25" hidden="1">
      <c r="A2388" s="251"/>
      <c r="E2388" s="512"/>
      <c r="F2388" s="891">
        <v>0.3</v>
      </c>
      <c r="G2388" s="892" t="s">
        <v>1760</v>
      </c>
      <c r="H2388" s="903" t="s">
        <v>6345</v>
      </c>
      <c r="I2388" s="891">
        <f>I2371</f>
        <v>150</v>
      </c>
      <c r="J2388" s="892" t="s">
        <v>1760</v>
      </c>
      <c r="K2388" s="891">
        <f>I2388*F2388</f>
        <v>45</v>
      </c>
      <c r="L2388" s="891"/>
    </row>
    <row r="2389" spans="1:12" ht="20.25" hidden="1">
      <c r="A2389" s="251"/>
      <c r="E2389" s="512"/>
      <c r="F2389" s="891">
        <v>0.3</v>
      </c>
      <c r="G2389" s="892" t="s">
        <v>1760</v>
      </c>
      <c r="H2389" s="903" t="s">
        <v>6346</v>
      </c>
      <c r="I2389" s="891">
        <f>I2372</f>
        <v>95</v>
      </c>
      <c r="J2389" s="892" t="s">
        <v>1760</v>
      </c>
      <c r="K2389" s="891">
        <f>I2389*F2389</f>
        <v>28.5</v>
      </c>
      <c r="L2389" s="888"/>
    </row>
    <row r="2390" spans="1:12" ht="18" hidden="1">
      <c r="A2390" s="251"/>
      <c r="E2390" s="512"/>
      <c r="F2390" s="886"/>
      <c r="G2390" s="512"/>
      <c r="H2390" s="904" t="s">
        <v>2362</v>
      </c>
      <c r="I2390" s="1153" t="s">
        <v>449</v>
      </c>
      <c r="J2390" s="1153"/>
      <c r="K2390" s="891">
        <v>0.6</v>
      </c>
      <c r="L2390" s="886"/>
    </row>
    <row r="2391" spans="1:12" ht="20.25" hidden="1">
      <c r="A2391" s="251"/>
      <c r="E2391" s="512"/>
      <c r="F2391" s="886"/>
      <c r="G2391" s="512"/>
      <c r="H2391" s="904" t="s">
        <v>6347</v>
      </c>
      <c r="I2391" s="886"/>
      <c r="J2391" s="512"/>
      <c r="K2391" s="888">
        <f>SUM(K2387:K2390)</f>
        <v>369.6</v>
      </c>
      <c r="L2391" s="886"/>
    </row>
    <row r="2392" spans="1:12" ht="20.25" hidden="1">
      <c r="A2392" s="251"/>
      <c r="E2392" s="512"/>
      <c r="F2392" s="886"/>
      <c r="G2392" s="512"/>
      <c r="H2392" s="904" t="s">
        <v>6348</v>
      </c>
      <c r="I2392" s="895">
        <f>K2391/10</f>
        <v>36.96</v>
      </c>
      <c r="J2392" s="512"/>
      <c r="K2392" s="886"/>
      <c r="L2392" s="886"/>
    </row>
    <row r="2393" spans="1:12" ht="18" hidden="1">
      <c r="A2393" s="251"/>
      <c r="E2393" s="512"/>
      <c r="F2393" s="886"/>
      <c r="G2393" s="512"/>
      <c r="H2393" s="904" t="s">
        <v>2363</v>
      </c>
      <c r="I2393" s="895">
        <f>I2392/3</f>
        <v>12.32</v>
      </c>
      <c r="J2393" s="512"/>
      <c r="K2393" s="886"/>
      <c r="L2393" s="886"/>
    </row>
    <row r="2394" spans="1:12" ht="18" hidden="1">
      <c r="A2394" s="251"/>
      <c r="E2394" s="512"/>
      <c r="F2394" s="886"/>
      <c r="G2394" s="512"/>
      <c r="H2394" s="903"/>
      <c r="I2394" s="886"/>
      <c r="J2394" s="512"/>
      <c r="K2394" s="886"/>
      <c r="L2394" s="886"/>
    </row>
    <row r="2395" spans="1:12" ht="54" hidden="1">
      <c r="A2395" s="251"/>
      <c r="E2395" s="896">
        <v>18.100000000000001</v>
      </c>
      <c r="F2395" s="888" t="s">
        <v>2278</v>
      </c>
      <c r="G2395" s="512"/>
      <c r="H2395" s="877" t="s">
        <v>3006</v>
      </c>
      <c r="I2395" s="888">
        <f>I2377*1.2</f>
        <v>246.11</v>
      </c>
      <c r="J2395" s="512"/>
      <c r="K2395" s="886"/>
    </row>
    <row r="2396" spans="1:12" ht="36" hidden="1">
      <c r="A2396" s="251"/>
      <c r="E2396" s="887">
        <v>18.100000000000001</v>
      </c>
      <c r="F2396" s="888" t="s">
        <v>3007</v>
      </c>
      <c r="G2396" s="512"/>
      <c r="H2396" s="905" t="s">
        <v>3008</v>
      </c>
      <c r="I2396" s="888">
        <f>I2377*1.1</f>
        <v>225.6</v>
      </c>
      <c r="J2396" s="512"/>
      <c r="K2396" s="886"/>
    </row>
    <row r="2397" spans="1:12" hidden="1">
      <c r="A2397" s="251"/>
    </row>
    <row r="2398" spans="1:12" hidden="1">
      <c r="A2398" s="251"/>
    </row>
    <row r="2399" spans="1:12" ht="22.5" hidden="1">
      <c r="A2399" s="251"/>
      <c r="H2399" s="906" t="s">
        <v>2386</v>
      </c>
    </row>
    <row r="2400" spans="1:12" ht="16.5" hidden="1">
      <c r="A2400" s="251"/>
      <c r="F2400" s="907">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908" t="s">
        <v>2608</v>
      </c>
      <c r="G2438" s="407"/>
      <c r="H2438" s="909"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908" t="s">
        <v>3192</v>
      </c>
      <c r="H2451" s="909" t="s">
        <v>3009</v>
      </c>
      <c r="J2451" s="253" t="s">
        <v>3446</v>
      </c>
      <c r="K2451" s="252">
        <f>K2435</f>
        <v>205.09</v>
      </c>
    </row>
    <row r="2452" spans="1:11" hidden="1">
      <c r="A2452" s="251"/>
      <c r="H2452" s="296"/>
      <c r="K2452" s="377" t="s">
        <v>32</v>
      </c>
    </row>
    <row r="2453" spans="1:11" ht="28.5" hidden="1">
      <c r="A2453" s="251"/>
      <c r="F2453" s="908" t="s">
        <v>2278</v>
      </c>
      <c r="H2453" s="909" t="s">
        <v>3006</v>
      </c>
      <c r="J2453" s="253" t="s">
        <v>3446</v>
      </c>
      <c r="K2453" s="377">
        <f>K2451*1.2</f>
        <v>246.11</v>
      </c>
    </row>
    <row r="2454" spans="1:11" hidden="1">
      <c r="A2454" s="251"/>
      <c r="K2454" s="377" t="s">
        <v>1224</v>
      </c>
    </row>
    <row r="2455" spans="1:11" ht="20.25" hidden="1">
      <c r="A2455" s="251"/>
      <c r="F2455" s="908" t="s">
        <v>3007</v>
      </c>
      <c r="H2455" s="909"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6349</v>
      </c>
    </row>
    <row r="2460" spans="1:11" hidden="1">
      <c r="A2460" s="251"/>
      <c r="H2460" s="358" t="s">
        <v>1586</v>
      </c>
      <c r="I2460" s="358" t="s">
        <v>1586</v>
      </c>
    </row>
    <row r="2461" spans="1:11" ht="18" hidden="1">
      <c r="A2461" s="251"/>
      <c r="H2461" s="358" t="s">
        <v>6350</v>
      </c>
      <c r="I2461" s="358"/>
    </row>
    <row r="2462" spans="1:11" ht="18" hidden="1">
      <c r="A2462" s="251"/>
      <c r="H2462" s="358" t="s">
        <v>6351</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33" t="s">
        <v>3224</v>
      </c>
    </row>
    <row r="2474" spans="1:11" hidden="1">
      <c r="A2474" s="251"/>
      <c r="H2474" s="253" t="s">
        <v>3225</v>
      </c>
      <c r="K2474" s="252" t="e">
        <f>K2472/39.2</f>
        <v>#REF!</v>
      </c>
    </row>
    <row r="2475" spans="1:11" hidden="1">
      <c r="A2475" s="251"/>
      <c r="K2475" s="377" t="s">
        <v>1224</v>
      </c>
    </row>
    <row r="2476" spans="1:11" hidden="1">
      <c r="A2476" s="251"/>
      <c r="H2476" s="60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910">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911">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4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5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4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5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912"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8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913"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913"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913"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49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5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913"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913"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913"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914">
        <v>71.3</v>
      </c>
      <c r="G2698" s="364"/>
      <c r="H2698" s="915" t="s">
        <v>3352</v>
      </c>
      <c r="I2698" s="364"/>
      <c r="J2698" s="431"/>
      <c r="K2698" s="364"/>
    </row>
    <row r="2699" spans="1:11" hidden="1">
      <c r="A2699" s="251"/>
      <c r="F2699" s="364"/>
      <c r="G2699" s="364"/>
      <c r="H2699" s="916"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917"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917"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917"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918">
        <v>79.400000000000006</v>
      </c>
      <c r="H2713" s="1154" t="s">
        <v>2716</v>
      </c>
      <c r="I2713" s="1154"/>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919">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919">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919">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499">
        <v>53.4</v>
      </c>
      <c r="H2766" s="296" t="s">
        <v>2890</v>
      </c>
      <c r="J2766" s="253" t="s">
        <v>1398</v>
      </c>
      <c r="K2766" s="252">
        <v>957</v>
      </c>
    </row>
    <row r="2767" spans="1:11" hidden="1">
      <c r="A2767" s="251"/>
    </row>
    <row r="2768" spans="1:11" ht="31.5" hidden="1">
      <c r="A2768" s="251"/>
      <c r="F2768" s="920">
        <v>383</v>
      </c>
      <c r="H2768" s="268" t="s">
        <v>3442</v>
      </c>
      <c r="J2768" s="253" t="s">
        <v>1398</v>
      </c>
      <c r="K2768" s="252">
        <v>600</v>
      </c>
    </row>
    <row r="2769" spans="1:11" hidden="1">
      <c r="A2769" s="251"/>
    </row>
    <row r="2770" spans="1:11" hidden="1">
      <c r="A2770" s="251"/>
    </row>
    <row r="2771" spans="1:11" hidden="1">
      <c r="A2771" s="251"/>
      <c r="F2771" s="921">
        <v>344.2</v>
      </c>
      <c r="H2771" s="268" t="s">
        <v>2409</v>
      </c>
      <c r="J2771" s="253" t="s">
        <v>1398</v>
      </c>
      <c r="K2771" s="252">
        <v>300</v>
      </c>
    </row>
    <row r="2772" spans="1:11" hidden="1">
      <c r="A2772" s="251"/>
      <c r="F2772" s="920"/>
    </row>
    <row r="2773" spans="1:11" hidden="1">
      <c r="A2773" s="251"/>
      <c r="F2773" s="920"/>
    </row>
    <row r="2774" spans="1:11" hidden="1">
      <c r="A2774" s="251"/>
      <c r="F2774" s="920"/>
    </row>
    <row r="2775" spans="1:11" hidden="1">
      <c r="A2775" s="251"/>
      <c r="F2775" s="921">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922">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911">
        <v>112.1</v>
      </c>
      <c r="H2796" s="51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6051</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923">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923">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6052</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6053</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6054</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6055</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4272</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4273</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147" t="s">
        <v>3619</v>
      </c>
      <c r="P3111" s="1147"/>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924" t="s">
        <v>3798</v>
      </c>
      <c r="P3112" s="264">
        <f>P3071</f>
        <v>53.75</v>
      </c>
      <c r="Q3112" s="261" t="s">
        <v>2539</v>
      </c>
      <c r="R3112" s="261">
        <f>M3112*P3112</f>
        <v>19350</v>
      </c>
      <c r="S3112" s="261"/>
    </row>
    <row r="3113" spans="5:19" ht="36" customHeight="1">
      <c r="E3113" s="261"/>
      <c r="F3113" s="261">
        <v>90</v>
      </c>
      <c r="G3113" s="261"/>
      <c r="H3113" s="260" t="s">
        <v>4280</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924"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4274</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4275</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6057</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4276</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4277</v>
      </c>
      <c r="I3230" s="263">
        <v>2925</v>
      </c>
      <c r="J3230" s="261" t="s">
        <v>1394</v>
      </c>
      <c r="K3230" s="261">
        <f>F3230*I3230</f>
        <v>2925</v>
      </c>
      <c r="L3230" s="261"/>
      <c r="M3230" s="261"/>
    </row>
    <row r="3231" spans="5:14" ht="30" customHeight="1">
      <c r="E3231" s="261"/>
      <c r="F3231" s="261">
        <v>1</v>
      </c>
      <c r="G3231" s="261" t="s">
        <v>1394</v>
      </c>
      <c r="H3231" s="261" t="s">
        <v>4278</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4279</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4282</v>
      </c>
      <c r="I3289" s="263">
        <v>79.7</v>
      </c>
      <c r="J3289" s="261" t="s">
        <v>1645</v>
      </c>
      <c r="K3289" s="261">
        <f>F3289*I3289</f>
        <v>757.15</v>
      </c>
      <c r="L3289" s="261"/>
      <c r="M3289" s="261"/>
    </row>
    <row r="3290" spans="5:13">
      <c r="E3290" s="261"/>
      <c r="F3290" s="261">
        <v>0.5</v>
      </c>
      <c r="G3290" s="261" t="s">
        <v>1645</v>
      </c>
      <c r="H3290" s="261" t="s">
        <v>4031</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6352</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925">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925">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6353</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4283</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6060</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4287</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4288</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6061</v>
      </c>
      <c r="I3560" s="261"/>
      <c r="J3560" s="261"/>
      <c r="K3560" s="261"/>
      <c r="L3560" s="261"/>
      <c r="M3560" s="261"/>
    </row>
    <row r="3561" spans="5:15" ht="15.75" customHeight="1">
      <c r="E3561" s="261"/>
      <c r="F3561" s="261">
        <v>30.42</v>
      </c>
      <c r="G3561" s="261" t="s">
        <v>2151</v>
      </c>
      <c r="H3561" s="261" t="s">
        <v>4289</v>
      </c>
      <c r="I3561" s="298">
        <v>134.6</v>
      </c>
      <c r="J3561" s="261" t="s">
        <v>2151</v>
      </c>
      <c r="K3561" s="261">
        <f>F3561*I3561</f>
        <v>4094.53</v>
      </c>
      <c r="L3561" s="261"/>
      <c r="M3561" s="261"/>
      <c r="O3561" s="252">
        <f>M3561+N3561</f>
        <v>0</v>
      </c>
    </row>
    <row r="3562" spans="5:15" ht="15.75" customHeight="1">
      <c r="E3562" s="261"/>
      <c r="F3562" s="261">
        <v>6.1</v>
      </c>
      <c r="G3562" s="261" t="s">
        <v>2151</v>
      </c>
      <c r="H3562" s="296" t="s">
        <v>4252</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4291</v>
      </c>
      <c r="I3603" s="263">
        <v>2970</v>
      </c>
      <c r="J3603" s="263">
        <v>2970</v>
      </c>
      <c r="K3603" s="263">
        <v>2850</v>
      </c>
      <c r="L3603" s="263">
        <v>2890</v>
      </c>
      <c r="M3603" s="261"/>
    </row>
    <row r="3604" spans="5:18" ht="22.5" customHeight="1">
      <c r="E3604" s="261"/>
      <c r="F3604" s="261"/>
      <c r="G3604" s="261"/>
      <c r="H3604" s="261" t="s">
        <v>4290</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148" t="s">
        <v>3704</v>
      </c>
      <c r="N3610" s="1148"/>
      <c r="O3610" s="1148"/>
      <c r="P3610" s="1148"/>
      <c r="Q3610" s="1148"/>
      <c r="R3610" s="1148"/>
    </row>
    <row r="3611" spans="5:18" ht="15.75" customHeight="1">
      <c r="E3611" s="261"/>
      <c r="F3611" s="261"/>
      <c r="G3611" s="261"/>
      <c r="H3611" s="261"/>
      <c r="I3611" s="261"/>
      <c r="J3611" s="261"/>
      <c r="K3611" s="261"/>
      <c r="L3611" s="261"/>
      <c r="M3611" s="1149" t="s">
        <v>3705</v>
      </c>
      <c r="N3611" s="1149"/>
      <c r="O3611" s="1149"/>
      <c r="P3611" s="1149"/>
      <c r="Q3611" s="1149"/>
      <c r="R3611" s="1149"/>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150" t="s">
        <v>657</v>
      </c>
      <c r="Q3619" s="1150"/>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923">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923">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6062</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4295</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4296</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6354</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4297</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926">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6053</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6051</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927">
        <v>1</v>
      </c>
      <c r="G3908" s="927" t="s">
        <v>1394</v>
      </c>
      <c r="H3908" s="272" t="s">
        <v>3855</v>
      </c>
      <c r="I3908" s="927">
        <f>I2955</f>
        <v>58</v>
      </c>
      <c r="J3908" s="927" t="s">
        <v>1394</v>
      </c>
      <c r="K3908" s="927">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928">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zoomScaleNormal="70" zoomScaleSheetLayoutView="100" workbookViewId="0">
      <pane ySplit="1" topLeftCell="A5" activePane="bottomLeft" state="frozen"/>
      <selection pane="bottomLeft" activeCell="P15" sqref="P15"/>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32</v>
      </c>
      <c r="E10" s="350">
        <f>IF(D10&lt;11,D10*$D$3,IF(D10&lt;21,($E$3+(D10-10)*$D$4),IF(D10&lt;41,$E$4+(D10-20)*$D$5,IF(D10&lt;81,($E$5+(D10-40)*$D$6),$E$6+(D10-80)*$D$7))))</f>
        <v>318.94</v>
      </c>
      <c r="G10" s="345">
        <v>2</v>
      </c>
      <c r="H10" s="345">
        <f>IF(G10&lt;11,G10*$G$3,IF(G10&lt;21,($H$3+(G10-10)*$G$4),IF(G10&lt;41,$H$4+(G10-20)*$G$5,IF(G10&lt;81,($H$5+(G10-40)*$G$6),$H$6+(G10-80)*$G$7))))</f>
        <v>19.64</v>
      </c>
      <c r="L10" s="354" t="s">
        <v>1170</v>
      </c>
      <c r="N10" s="345">
        <f>IF(M10&lt;11,M10*$M$3,IF(M10&lt;21,($N$3+(M10-10)*$M$4),IF(M10&lt;41,$N$4+(M10-20)*$M$5,IF(M10&lt;81,($N$5+(M10-40)*$M$6),$N$6+(M10-80)*$M$7))))</f>
        <v>0</v>
      </c>
      <c r="P10" s="345">
        <v>2</v>
      </c>
      <c r="Q10" s="345">
        <f>IF(P10&lt;11,P10*$P$3,IF(P10&lt;21,($Q$3+(P10-10)*$P$4),IF(P10&lt;41,$Q$4+(P10-20)*$P$5,IF(P10&lt;81,($Q$5+(P10-40)*$P$6),$Q$6+(P10-80)*$P$7))))</f>
        <v>15.98</v>
      </c>
      <c r="R10" s="345" t="s">
        <v>1159</v>
      </c>
    </row>
    <row r="11" spans="1:22">
      <c r="B11" s="345" t="s">
        <v>1065</v>
      </c>
      <c r="D11" s="345">
        <v>42</v>
      </c>
      <c r="E11" s="350">
        <f>IF(D11&lt;11,D11*$D$3,(IF(D11&lt;21,($E$3+(D11-10)*$D$4),(IF(D11&lt;41,$E$4+(D11-20)*$D$5,IF(D11&lt;81,($E$5+(D11-40)*$D$6),$E$6+(D11-80)*$D$7))))))</f>
        <v>403.58</v>
      </c>
      <c r="H11" s="345">
        <f>IF(G11&lt;11,G11*$G$3,IF(G11&lt;21,($H$3+(G11-10)*$G$4),IF(G11&lt;41,$H$4+(G11-20)*$G$5,IF(G11&lt;81,($H$5+(G11-40)*$G$6),$H$6+(G11-80)*$G$7))))</f>
        <v>0</v>
      </c>
      <c r="J11" s="345">
        <v>0</v>
      </c>
      <c r="K11" s="345">
        <f>IF(J11&lt;11,J11*$J$3,IF(J11&lt;21,($K$3+(J11-10)*$J$4),IF(J11&lt;41,$K$4+(J11-20)*$J$5,IF(J11&lt;81,($K$5+(J11-40)*$J$6),$K$6+(J11-80)*$J$7))))/2</f>
        <v>0</v>
      </c>
      <c r="L11" s="355" t="s">
        <v>298</v>
      </c>
      <c r="P11" s="345">
        <v>3</v>
      </c>
      <c r="Q11" s="345">
        <f>IF(P11&lt;11,P11*$P$3,IF(P11&lt;21,($Q$3+(P11-10)*$P$4),IF(P11&lt;41,$Q$4+(P11-20)*$P$5,IF(P11&lt;81,($Q$5+(P11-40)*$P$6),$Q$6+(P11-80)*$P$7))))</f>
        <v>23.97</v>
      </c>
      <c r="R11" s="345" t="s">
        <v>1160</v>
      </c>
      <c r="T11" s="345" t="s">
        <v>3532</v>
      </c>
    </row>
    <row r="12" spans="1:22" ht="21" customHeight="1">
      <c r="B12" s="354" t="s">
        <v>778</v>
      </c>
      <c r="C12" s="354"/>
      <c r="D12" s="345">
        <v>32</v>
      </c>
      <c r="E12" s="345">
        <f>IF(D12&lt;11,D12*$D$3,(IF(D12&lt;21,($E$3+(D12-10)*$D$4),(IF(D12&lt;41,$E$4+(D12-20)*$D$5,IF(D12&lt;81,($E$5+(D12-40)*$D$6),$E$6+(D12-80)*$D$7))))))</f>
        <v>318.94</v>
      </c>
      <c r="J12" s="345">
        <v>8</v>
      </c>
      <c r="K12" s="345">
        <f>IF(J12&lt;11,J12*$J$3,IF(J12&lt;21,($K$3+(J12-10)*$J$4),IF(J12&lt;41,$K$4+(J12-20)*$J$5,IF(J12&lt;81,($K$5+(J12-40)*$J$6),$K$6+(J12-80)*$J$7))))/2</f>
        <v>52.4</v>
      </c>
      <c r="L12" s="345" t="s">
        <v>6548</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3</v>
      </c>
      <c r="E13" s="350">
        <f>IF(D13&lt;11,D13*$D$3,(IF(D13&lt;21,($E$3+(D13-10)*$D$4),(IF(D13&lt;41,$E$4+(D13-20)*$D$5,IF(D13&lt;81,($E$5+(D13-40)*$D$6),$E$6+(D13-80)*$D$7))))))</f>
        <v>34.950000000000003</v>
      </c>
      <c r="P13" s="345">
        <f>D10</f>
        <v>32</v>
      </c>
      <c r="Q13" s="345">
        <f>IF(P13&lt;11,P13*$P$3,IF(P13&lt;21,($Q$3+(P13-10)*$P$4),IF(P13&lt;41,$Q$4+(P13-20)*$P$5,IF(P13&lt;81,($Q$5+(P13-40)*$P$6),$Q$6+(P13-80)*$P$7))))</f>
        <v>219.1</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925" transitionEvaluation="1"/>
  <dimension ref="A1:DZ5475"/>
  <sheetViews>
    <sheetView view="pageBreakPreview" topLeftCell="F925" zoomScaleNormal="60" zoomScaleSheetLayoutView="100" workbookViewId="0">
      <selection activeCell="H934" sqref="H934"/>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4607</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6051</v>
      </c>
      <c r="P11" s="261"/>
      <c r="Q11" s="261"/>
      <c r="R11" s="261"/>
    </row>
    <row r="12" spans="1:18" ht="31.5">
      <c r="A12" s="251"/>
      <c r="F12" s="261">
        <v>90</v>
      </c>
      <c r="G12" s="261" t="s">
        <v>826</v>
      </c>
      <c r="H12" s="262" t="s">
        <v>5369</v>
      </c>
      <c r="I12" s="263">
        <v>16.55</v>
      </c>
      <c r="J12" s="261" t="s">
        <v>2539</v>
      </c>
      <c r="K12" s="261">
        <f>F12*I12</f>
        <v>1489.5</v>
      </c>
      <c r="M12" s="261"/>
      <c r="N12" s="261"/>
      <c r="O12" s="258"/>
      <c r="P12" s="261"/>
      <c r="Q12" s="261"/>
      <c r="R12" s="261"/>
    </row>
    <row r="13" spans="1:18" ht="31.5">
      <c r="A13" s="251"/>
      <c r="E13" s="261"/>
      <c r="F13" s="261">
        <v>45</v>
      </c>
      <c r="G13" s="261" t="s">
        <v>826</v>
      </c>
      <c r="H13" s="260" t="s">
        <v>5370</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5371</v>
      </c>
      <c r="I14" s="263">
        <v>3.15</v>
      </c>
      <c r="J14" s="261" t="s">
        <v>1394</v>
      </c>
      <c r="K14" s="261">
        <f t="shared" si="0"/>
        <v>63</v>
      </c>
      <c r="L14" s="261"/>
      <c r="M14" s="261"/>
      <c r="N14" s="261"/>
      <c r="O14" s="261"/>
      <c r="P14" s="261"/>
      <c r="Q14" s="261"/>
      <c r="R14" s="261"/>
    </row>
    <row r="15" spans="1:18" ht="31.5">
      <c r="A15" s="251"/>
      <c r="E15" s="261"/>
      <c r="F15" s="261">
        <v>10</v>
      </c>
      <c r="G15" s="261" t="s">
        <v>1394</v>
      </c>
      <c r="H15" s="261" t="s">
        <v>5906</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5372</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5373</v>
      </c>
      <c r="P17" s="264">
        <v>3.6</v>
      </c>
      <c r="Q17" s="261" t="s">
        <v>3378</v>
      </c>
      <c r="R17" s="261">
        <f>M17*P17/12</f>
        <v>22.5</v>
      </c>
    </row>
    <row r="18" spans="1:20">
      <c r="A18" s="251"/>
      <c r="E18" s="261"/>
      <c r="F18" s="265">
        <v>1.4999999999999999E-2</v>
      </c>
      <c r="G18" s="261" t="s">
        <v>2283</v>
      </c>
      <c r="H18" s="261" t="s">
        <v>5907</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5908</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5374</v>
      </c>
      <c r="I20" s="263">
        <v>13.8</v>
      </c>
      <c r="J20" s="261" t="s">
        <v>1394</v>
      </c>
      <c r="K20" s="261">
        <f t="shared" si="0"/>
        <v>138</v>
      </c>
      <c r="L20" s="261"/>
      <c r="M20" s="261">
        <v>150</v>
      </c>
      <c r="N20" s="261" t="s">
        <v>1432</v>
      </c>
      <c r="O20" s="261" t="s">
        <v>4665</v>
      </c>
      <c r="P20" s="261">
        <f>I749</f>
        <v>287</v>
      </c>
      <c r="Q20" s="261">
        <v>1000</v>
      </c>
      <c r="R20" s="261">
        <f>(M20*P20)/1000</f>
        <v>43.05</v>
      </c>
    </row>
    <row r="21" spans="1:20">
      <c r="A21" s="251"/>
      <c r="E21" s="261"/>
      <c r="F21" s="261">
        <v>10</v>
      </c>
      <c r="G21" s="261" t="s">
        <v>1394</v>
      </c>
      <c r="H21" s="261" t="s">
        <v>5909</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4609</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4610</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4608</v>
      </c>
      <c r="I25" s="261">
        <f>I12</f>
        <v>16.55</v>
      </c>
      <c r="J25" s="261" t="s">
        <v>3290</v>
      </c>
      <c r="K25" s="261">
        <f t="shared" si="0"/>
        <v>744.75</v>
      </c>
      <c r="L25" s="261"/>
      <c r="M25" s="261">
        <v>6</v>
      </c>
      <c r="N25" s="261" t="s">
        <v>1432</v>
      </c>
      <c r="O25" s="260" t="s">
        <v>4667</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5910</v>
      </c>
      <c r="I35" s="264">
        <v>947</v>
      </c>
      <c r="J35" s="261" t="s">
        <v>1394</v>
      </c>
      <c r="K35" s="261">
        <f>F35*I35</f>
        <v>947</v>
      </c>
      <c r="L35" s="261"/>
      <c r="M35" s="261"/>
      <c r="N35" s="272" t="s">
        <v>3297</v>
      </c>
      <c r="O35" s="261"/>
      <c r="P35" s="261"/>
      <c r="Q35" s="261"/>
    </row>
    <row r="36" spans="1:19">
      <c r="A36" s="251"/>
      <c r="E36" s="261"/>
      <c r="F36" s="261">
        <v>2</v>
      </c>
      <c r="G36" s="261" t="s">
        <v>1394</v>
      </c>
      <c r="H36" s="261" t="s">
        <v>5911</v>
      </c>
      <c r="I36" s="264">
        <v>826</v>
      </c>
      <c r="J36" s="261" t="s">
        <v>1394</v>
      </c>
      <c r="K36" s="261">
        <f t="shared" ref="K36:K41" si="2">F36*I36</f>
        <v>1652</v>
      </c>
      <c r="L36" s="261"/>
      <c r="M36" s="261"/>
      <c r="N36" s="261"/>
      <c r="O36" s="261"/>
      <c r="P36" s="261"/>
      <c r="Q36" s="261"/>
    </row>
    <row r="37" spans="1:19">
      <c r="A37" s="251"/>
      <c r="E37" s="261"/>
      <c r="F37" s="261">
        <v>3</v>
      </c>
      <c r="G37" s="261" t="s">
        <v>1394</v>
      </c>
      <c r="H37" s="261" t="s">
        <v>5912</v>
      </c>
      <c r="I37" s="264">
        <v>820</v>
      </c>
      <c r="J37" s="261" t="s">
        <v>1394</v>
      </c>
      <c r="K37" s="261">
        <f t="shared" si="2"/>
        <v>2460</v>
      </c>
      <c r="L37" s="261"/>
      <c r="M37" s="261"/>
      <c r="N37" s="272" t="s">
        <v>3373</v>
      </c>
      <c r="O37" s="261"/>
      <c r="P37" s="261"/>
      <c r="Q37" s="261"/>
    </row>
    <row r="38" spans="1:19">
      <c r="A38" s="251"/>
      <c r="E38" s="261"/>
      <c r="F38" s="261">
        <v>4</v>
      </c>
      <c r="G38" s="261" t="s">
        <v>1394</v>
      </c>
      <c r="H38" s="261" t="s">
        <v>5913</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6052</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6053</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5914</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4666</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5915</v>
      </c>
      <c r="I63" s="261"/>
      <c r="J63" s="261"/>
      <c r="K63" s="263">
        <f>10*41.7</f>
        <v>417</v>
      </c>
      <c r="L63" s="261"/>
      <c r="M63" s="261"/>
      <c r="N63" s="261"/>
      <c r="P63" s="261"/>
      <c r="Q63" s="261"/>
      <c r="R63" s="261"/>
    </row>
    <row r="64" spans="1:20">
      <c r="A64" s="251"/>
      <c r="E64" s="261"/>
      <c r="F64" s="261"/>
      <c r="G64" s="261"/>
      <c r="H64" s="266" t="s">
        <v>5916</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5375</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5376</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6054</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5377</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5917</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6055</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5378</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6056</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5918</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4668</v>
      </c>
      <c r="P239" s="261"/>
      <c r="Q239" s="261"/>
      <c r="R239" s="261"/>
      <c r="AA239" s="261"/>
      <c r="AB239" s="261"/>
      <c r="AC239" s="261"/>
      <c r="AD239" s="260" t="s">
        <v>5919</v>
      </c>
      <c r="AE239" s="261"/>
      <c r="AF239" s="261"/>
      <c r="AG239" s="261"/>
    </row>
    <row r="240" spans="5:33" ht="16.5" customHeight="1">
      <c r="E240" s="261"/>
      <c r="F240" s="261"/>
      <c r="G240" s="261"/>
      <c r="H240" s="261"/>
      <c r="I240" s="261"/>
      <c r="J240" s="261"/>
      <c r="K240" s="261"/>
      <c r="L240" s="261"/>
      <c r="M240" s="261">
        <v>180</v>
      </c>
      <c r="N240" s="261" t="s">
        <v>826</v>
      </c>
      <c r="O240" s="268" t="s">
        <v>5379</v>
      </c>
      <c r="P240" s="264">
        <v>60.65</v>
      </c>
      <c r="Q240" s="261" t="s">
        <v>2539</v>
      </c>
      <c r="R240" s="261">
        <f>M240*P240</f>
        <v>10917</v>
      </c>
      <c r="AA240" s="261"/>
      <c r="AB240" s="261">
        <v>180</v>
      </c>
      <c r="AC240" s="261" t="s">
        <v>826</v>
      </c>
      <c r="AD240" s="268" t="s">
        <v>5920</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5380</v>
      </c>
      <c r="P243" s="261">
        <v>40.950000000000003</v>
      </c>
      <c r="Q243" s="261" t="s">
        <v>2539</v>
      </c>
      <c r="R243" s="261">
        <f>M243*P243</f>
        <v>3685.5</v>
      </c>
      <c r="AA243" s="261"/>
      <c r="AB243" s="261">
        <v>90</v>
      </c>
      <c r="AC243" s="261" t="s">
        <v>826</v>
      </c>
      <c r="AD243" s="268" t="s">
        <v>5921</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5381</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5382</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147" t="s">
        <v>3619</v>
      </c>
      <c r="P280" s="1147"/>
      <c r="Q280" s="261"/>
      <c r="R280" s="261"/>
      <c r="S280" s="261"/>
    </row>
    <row r="281" spans="5:19" ht="31.5">
      <c r="E281" s="261"/>
      <c r="F281" s="261">
        <v>360</v>
      </c>
      <c r="G281" s="261"/>
      <c r="H281" s="262" t="s">
        <v>4611</v>
      </c>
      <c r="I281" s="261">
        <f>I267</f>
        <v>40.950000000000003</v>
      </c>
      <c r="J281" s="261" t="s">
        <v>2539</v>
      </c>
      <c r="K281" s="261">
        <f>F281*I281</f>
        <v>14742</v>
      </c>
      <c r="L281" s="261"/>
      <c r="M281" s="261">
        <v>360</v>
      </c>
      <c r="N281" s="261"/>
      <c r="O281" s="268" t="s">
        <v>4621</v>
      </c>
      <c r="P281" s="261">
        <v>60.65</v>
      </c>
      <c r="Q281" s="261" t="s">
        <v>2539</v>
      </c>
      <c r="R281" s="261">
        <f>M281*P281</f>
        <v>21834</v>
      </c>
      <c r="S281" s="261"/>
    </row>
    <row r="282" spans="5:19" ht="31.5">
      <c r="E282" s="261"/>
      <c r="F282" s="261">
        <v>90</v>
      </c>
      <c r="G282" s="261"/>
      <c r="H282" s="260" t="s">
        <v>5383</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4281</v>
      </c>
      <c r="I284" s="261">
        <f>I270</f>
        <v>25.75</v>
      </c>
      <c r="J284" s="261" t="s">
        <v>2539</v>
      </c>
      <c r="K284" s="261">
        <f>F284*I284</f>
        <v>2317.5</v>
      </c>
      <c r="L284" s="261"/>
      <c r="M284" s="261">
        <v>90</v>
      </c>
      <c r="N284" s="261"/>
      <c r="O284" s="268" t="s">
        <v>5384</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5385</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5386</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4641</v>
      </c>
      <c r="I298" s="261"/>
      <c r="J298" s="261"/>
      <c r="K298" s="261"/>
      <c r="L298" s="261"/>
      <c r="M298" s="261">
        <v>90</v>
      </c>
      <c r="N298" s="261"/>
      <c r="O298" s="268" t="s">
        <v>5387</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5388</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4642</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4643</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5922</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5389</v>
      </c>
      <c r="I349" s="263">
        <v>462</v>
      </c>
      <c r="J349" s="261" t="s">
        <v>1394</v>
      </c>
      <c r="K349" s="261">
        <f>F349*I349</f>
        <v>462</v>
      </c>
      <c r="L349" s="261"/>
      <c r="M349" s="261"/>
    </row>
    <row r="350" spans="5:130">
      <c r="E350" s="261"/>
      <c r="F350" s="261">
        <v>1</v>
      </c>
      <c r="G350" s="261" t="s">
        <v>1394</v>
      </c>
      <c r="H350" s="261" t="s">
        <v>4644</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4645</v>
      </c>
      <c r="I360" s="266">
        <v>889</v>
      </c>
      <c r="J360" s="261" t="s">
        <v>1394</v>
      </c>
      <c r="K360" s="261">
        <f>F360*I360</f>
        <v>889</v>
      </c>
      <c r="L360" s="261"/>
      <c r="M360" s="261"/>
    </row>
    <row r="361" spans="5:13" ht="31.5">
      <c r="E361" s="261"/>
      <c r="F361" s="261">
        <v>1</v>
      </c>
      <c r="G361" s="261" t="s">
        <v>1394</v>
      </c>
      <c r="H361" s="260" t="s">
        <v>4646</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6057</v>
      </c>
      <c r="I374" s="261"/>
      <c r="J374" s="261"/>
      <c r="K374" s="261"/>
      <c r="L374" s="261"/>
      <c r="M374" s="261"/>
      <c r="N374" s="261"/>
      <c r="O374" s="258" t="s">
        <v>6058</v>
      </c>
      <c r="P374" s="261"/>
      <c r="Q374" s="261"/>
      <c r="R374" s="261"/>
    </row>
    <row r="375" spans="5:18" ht="31.5">
      <c r="E375" s="261"/>
      <c r="F375" s="261">
        <v>1</v>
      </c>
      <c r="G375" s="261" t="s">
        <v>1394</v>
      </c>
      <c r="H375" s="260" t="s">
        <v>5923</v>
      </c>
      <c r="I375" s="264">
        <v>1315</v>
      </c>
      <c r="J375" s="261" t="s">
        <v>1394</v>
      </c>
      <c r="K375" s="261">
        <f>F375*I375</f>
        <v>1315</v>
      </c>
      <c r="L375" s="261"/>
      <c r="M375" s="261">
        <v>1</v>
      </c>
      <c r="N375" s="261" t="s">
        <v>1394</v>
      </c>
      <c r="O375" s="260" t="s">
        <v>5967</v>
      </c>
      <c r="P375" s="264">
        <v>2866</v>
      </c>
      <c r="Q375" s="261" t="s">
        <v>1394</v>
      </c>
      <c r="R375" s="261">
        <f>M375*P375</f>
        <v>2866</v>
      </c>
    </row>
    <row r="376" spans="5:18" ht="31.5">
      <c r="E376" s="261"/>
      <c r="F376" s="261">
        <v>1</v>
      </c>
      <c r="G376" s="261" t="s">
        <v>1394</v>
      </c>
      <c r="H376" s="260" t="s">
        <v>4646</v>
      </c>
      <c r="I376" s="261">
        <f>I361</f>
        <v>161.30000000000001</v>
      </c>
      <c r="J376" s="261" t="s">
        <v>1394</v>
      </c>
      <c r="K376" s="261">
        <f>F376*I376</f>
        <v>161.30000000000001</v>
      </c>
      <c r="L376" s="261"/>
      <c r="M376" s="261">
        <v>1</v>
      </c>
      <c r="N376" s="261" t="s">
        <v>1394</v>
      </c>
      <c r="O376" s="260" t="s">
        <v>4646</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5390</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6036</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5391</v>
      </c>
      <c r="I399" s="263">
        <v>3093</v>
      </c>
      <c r="J399" s="261" t="s">
        <v>1394</v>
      </c>
      <c r="K399" s="261">
        <f>F399*I399</f>
        <v>3093</v>
      </c>
      <c r="L399" s="261"/>
      <c r="M399" s="261"/>
    </row>
    <row r="400" spans="5:14">
      <c r="E400" s="261"/>
      <c r="F400" s="261">
        <v>1</v>
      </c>
      <c r="G400" s="261" t="s">
        <v>1394</v>
      </c>
      <c r="H400" s="261" t="s">
        <v>6037</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4720</v>
      </c>
    </row>
    <row r="406" spans="5:19" ht="31.5">
      <c r="E406" s="261"/>
      <c r="F406" s="261"/>
      <c r="G406" s="261"/>
      <c r="H406" s="258" t="s">
        <v>3338</v>
      </c>
      <c r="I406" s="261"/>
      <c r="J406" s="261"/>
      <c r="K406" s="261"/>
      <c r="L406" s="261"/>
      <c r="M406" s="261"/>
      <c r="O406" s="258" t="s">
        <v>4715</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4716</v>
      </c>
      <c r="P408" s="261">
        <v>2487</v>
      </c>
      <c r="Q408" s="261" t="s">
        <v>1394</v>
      </c>
      <c r="R408" s="261">
        <f>P408*M408</f>
        <v>2487</v>
      </c>
    </row>
    <row r="409" spans="5:19">
      <c r="E409" s="261"/>
      <c r="F409" s="261">
        <v>2</v>
      </c>
      <c r="G409" s="261" t="s">
        <v>1394</v>
      </c>
      <c r="H409" s="261" t="s">
        <v>5392</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4717</v>
      </c>
      <c r="P410" s="293">
        <v>8.5500000000000007</v>
      </c>
      <c r="Q410" s="261" t="s">
        <v>4718</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4719</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5393</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4612</v>
      </c>
      <c r="I458" s="263">
        <v>101.5</v>
      </c>
      <c r="J458" s="261" t="s">
        <v>1645</v>
      </c>
      <c r="K458" s="261">
        <f>F458*I458</f>
        <v>964.25</v>
      </c>
      <c r="L458" s="261"/>
      <c r="M458" s="261"/>
    </row>
    <row r="459" spans="5:13">
      <c r="E459" s="261"/>
      <c r="F459" s="261">
        <v>0.5</v>
      </c>
      <c r="G459" s="261" t="s">
        <v>1645</v>
      </c>
      <c r="H459" s="261" t="s">
        <v>5963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5964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5394</v>
      </c>
      <c r="I475" s="263">
        <v>163</v>
      </c>
      <c r="J475" s="261" t="s">
        <v>826</v>
      </c>
      <c r="K475" s="261">
        <f>F475*I475</f>
        <v>407.5</v>
      </c>
      <c r="L475" s="261"/>
      <c r="M475" s="261"/>
    </row>
    <row r="476" spans="5:13">
      <c r="E476" s="261"/>
      <c r="F476" s="261">
        <v>1</v>
      </c>
      <c r="G476" s="261" t="s">
        <v>826</v>
      </c>
      <c r="H476" s="261" t="s">
        <v>4613</v>
      </c>
      <c r="I476" s="263">
        <v>98.6</v>
      </c>
      <c r="J476" s="261" t="s">
        <v>826</v>
      </c>
      <c r="K476" s="261">
        <f t="shared" ref="K476:K485" si="14">F476*I476</f>
        <v>98.6</v>
      </c>
      <c r="L476" s="261"/>
      <c r="M476" s="261"/>
    </row>
    <row r="477" spans="5:13">
      <c r="E477" s="261"/>
      <c r="F477" s="261">
        <v>1</v>
      </c>
      <c r="G477" s="261" t="s">
        <v>826</v>
      </c>
      <c r="H477" s="261" t="s">
        <v>4614</v>
      </c>
      <c r="I477" s="263">
        <v>69.8</v>
      </c>
      <c r="J477" s="261" t="s">
        <v>826</v>
      </c>
      <c r="K477" s="261">
        <f t="shared" si="14"/>
        <v>69.8</v>
      </c>
      <c r="L477" s="261"/>
      <c r="M477" s="261"/>
    </row>
    <row r="478" spans="5:13">
      <c r="E478" s="261"/>
      <c r="F478" s="261">
        <v>1</v>
      </c>
      <c r="G478" s="261" t="s">
        <v>1394</v>
      </c>
      <c r="H478" s="261" t="s">
        <v>4615</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4669</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5965</v>
      </c>
      <c r="I482" s="266">
        <f>101.7/20.32</f>
        <v>5</v>
      </c>
      <c r="J482" s="261" t="s">
        <v>1645</v>
      </c>
      <c r="K482" s="261">
        <f t="shared" si="14"/>
        <v>200</v>
      </c>
      <c r="L482" s="261">
        <f>101.7/20.32</f>
        <v>5</v>
      </c>
      <c r="M482" s="261"/>
    </row>
    <row r="483" spans="5:14">
      <c r="E483" s="261"/>
      <c r="F483" s="261">
        <v>2</v>
      </c>
      <c r="G483" s="261" t="s">
        <v>1394</v>
      </c>
      <c r="H483" s="261" t="s">
        <v>4616</v>
      </c>
      <c r="I483" s="263">
        <v>13.6</v>
      </c>
      <c r="J483" s="261" t="s">
        <v>1394</v>
      </c>
      <c r="K483" s="261">
        <f t="shared" si="14"/>
        <v>27.2</v>
      </c>
      <c r="L483" s="261"/>
      <c r="M483" s="261"/>
      <c r="N483" s="252">
        <f>97.15/20.32</f>
        <v>4.78</v>
      </c>
    </row>
    <row r="484" spans="5:14">
      <c r="E484" s="261"/>
      <c r="F484" s="261">
        <v>4</v>
      </c>
      <c r="G484" s="261" t="s">
        <v>1394</v>
      </c>
      <c r="H484" s="261" t="s">
        <v>4617</v>
      </c>
      <c r="I484" s="263">
        <v>13.6</v>
      </c>
      <c r="J484" s="261" t="s">
        <v>1394</v>
      </c>
      <c r="K484" s="261">
        <f t="shared" si="14"/>
        <v>54.4</v>
      </c>
      <c r="L484" s="261"/>
      <c r="M484" s="261"/>
    </row>
    <row r="485" spans="5:14">
      <c r="E485" s="261"/>
      <c r="F485" s="261">
        <v>10</v>
      </c>
      <c r="G485" s="261" t="s">
        <v>1645</v>
      </c>
      <c r="H485" s="261" t="s">
        <v>5966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5395</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5396</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5397</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6059</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5398</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5399</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4284</v>
      </c>
      <c r="I623" s="261">
        <f>I553</f>
        <v>1520</v>
      </c>
      <c r="J623" s="261" t="s">
        <v>1394</v>
      </c>
      <c r="K623" s="261">
        <f>F623*I623</f>
        <v>1520</v>
      </c>
      <c r="L623" s="261"/>
      <c r="M623" s="261"/>
    </row>
    <row r="624" spans="5:13">
      <c r="E624" s="261"/>
      <c r="F624" s="261">
        <v>3</v>
      </c>
      <c r="G624" s="261" t="s">
        <v>1394</v>
      </c>
      <c r="H624" s="261" t="s">
        <v>5400</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4286</v>
      </c>
      <c r="I633" s="296">
        <f>I558</f>
        <v>1876</v>
      </c>
      <c r="J633" s="261" t="s">
        <v>1394</v>
      </c>
      <c r="K633" s="261">
        <f>F633*I633</f>
        <v>1876</v>
      </c>
      <c r="L633" s="261"/>
      <c r="M633" s="261"/>
    </row>
    <row r="634" spans="5:13">
      <c r="E634" s="261"/>
      <c r="F634" s="261">
        <v>3</v>
      </c>
      <c r="G634" s="261" t="s">
        <v>1394</v>
      </c>
      <c r="H634" s="261" t="s">
        <v>4285</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6060</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4647</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5924</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5401</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5402</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4648</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5403</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6061</v>
      </c>
      <c r="I729" s="261"/>
      <c r="J729" s="261"/>
      <c r="K729" s="261"/>
      <c r="L729" s="261"/>
      <c r="M729" s="261"/>
    </row>
    <row r="730" spans="5:15">
      <c r="E730" s="261"/>
      <c r="F730" s="261">
        <v>30.42</v>
      </c>
      <c r="G730" s="261" t="s">
        <v>2151</v>
      </c>
      <c r="H730" s="261" t="s">
        <v>5404</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4252</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4618</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5405</v>
      </c>
      <c r="I747" s="263">
        <v>66.8</v>
      </c>
      <c r="J747" s="261" t="s">
        <v>2636</v>
      </c>
      <c r="K747" s="261">
        <f>F747*I747</f>
        <v>66.8</v>
      </c>
      <c r="L747" s="261"/>
      <c r="M747" s="261"/>
    </row>
    <row r="748" spans="5:13">
      <c r="E748" s="261"/>
      <c r="F748" s="261">
        <v>300</v>
      </c>
      <c r="G748" s="261" t="s">
        <v>1394</v>
      </c>
      <c r="H748" s="261" t="s">
        <v>5406</v>
      </c>
      <c r="I748" s="263">
        <v>69.400000000000006</v>
      </c>
      <c r="J748" s="261" t="s">
        <v>2636</v>
      </c>
      <c r="K748" s="261">
        <f>F748*(I748/144)</f>
        <v>144.58000000000001</v>
      </c>
      <c r="L748" s="261"/>
      <c r="M748" s="261"/>
    </row>
    <row r="749" spans="5:13">
      <c r="E749" s="261"/>
      <c r="F749" s="261">
        <v>300</v>
      </c>
      <c r="G749" s="261" t="s">
        <v>1394</v>
      </c>
      <c r="H749" s="261" t="s">
        <v>5407</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4291</v>
      </c>
      <c r="I772" s="263">
        <v>3110</v>
      </c>
      <c r="J772" s="266">
        <v>2970</v>
      </c>
      <c r="K772" s="263">
        <v>3012</v>
      </c>
      <c r="L772" s="263">
        <v>3055</v>
      </c>
      <c r="M772" s="261"/>
    </row>
    <row r="773" spans="5:20">
      <c r="E773" s="261"/>
      <c r="F773" s="261"/>
      <c r="G773" s="261"/>
      <c r="H773" s="261" t="s">
        <v>5408</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148" t="s">
        <v>4660</v>
      </c>
      <c r="N779" s="1148"/>
      <c r="O779" s="1148"/>
      <c r="P779" s="1148"/>
      <c r="Q779" s="1148"/>
      <c r="R779" s="1148"/>
    </row>
    <row r="780" spans="5:20" ht="15.75" customHeight="1">
      <c r="E780" s="261"/>
      <c r="F780" s="261"/>
      <c r="G780" s="261"/>
      <c r="H780" s="261"/>
      <c r="I780" s="261"/>
      <c r="J780" s="261"/>
      <c r="K780" s="261"/>
      <c r="L780" s="261"/>
      <c r="M780" s="1149" t="s">
        <v>4661</v>
      </c>
      <c r="N780" s="1149"/>
      <c r="O780" s="1149"/>
      <c r="P780" s="1149"/>
      <c r="Q780" s="1149"/>
      <c r="R780" s="1149"/>
    </row>
    <row r="781" spans="5:20">
      <c r="E781" s="261"/>
      <c r="F781" s="261">
        <v>2</v>
      </c>
      <c r="G781" s="261" t="s">
        <v>826</v>
      </c>
      <c r="H781" s="261" t="s">
        <v>5409</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4302</v>
      </c>
      <c r="P782" s="269">
        <f>I682</f>
        <v>128</v>
      </c>
      <c r="Q782" s="261" t="s">
        <v>826</v>
      </c>
      <c r="R782" s="269">
        <f>P782*M782</f>
        <v>192</v>
      </c>
    </row>
    <row r="783" spans="5:20">
      <c r="E783" s="261"/>
      <c r="F783" s="261">
        <v>1</v>
      </c>
      <c r="G783" s="261" t="s">
        <v>1394</v>
      </c>
      <c r="H783" s="261" t="s">
        <v>4292</v>
      </c>
      <c r="I783" s="261">
        <f>M565</f>
        <v>48.05</v>
      </c>
      <c r="J783" s="261" t="s">
        <v>1398</v>
      </c>
      <c r="K783" s="261">
        <f>F783*I783</f>
        <v>48.05</v>
      </c>
      <c r="L783" s="261"/>
      <c r="M783" s="269">
        <v>2</v>
      </c>
      <c r="N783" s="261" t="s">
        <v>1995</v>
      </c>
      <c r="O783" s="261" t="s">
        <v>2860</v>
      </c>
      <c r="P783" s="269">
        <f>I782</f>
        <v>35</v>
      </c>
      <c r="Q783" s="261" t="s">
        <v>1995</v>
      </c>
      <c r="R783" s="269">
        <f>M783*P783</f>
        <v>70</v>
      </c>
      <c r="T783" s="252" t="s">
        <v>5701</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150" t="s">
        <v>657</v>
      </c>
      <c r="Q788" s="1150"/>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4662</v>
      </c>
      <c r="P802" s="261"/>
      <c r="Q802" s="261"/>
      <c r="R802" s="261"/>
      <c r="T802" s="261"/>
      <c r="U802" s="261"/>
      <c r="V802" s="272" t="s">
        <v>5678</v>
      </c>
      <c r="W802" s="261"/>
      <c r="X802" s="261"/>
      <c r="Y802" s="261"/>
    </row>
    <row r="803" spans="5:26">
      <c r="E803" s="261"/>
      <c r="F803" s="261">
        <v>1</v>
      </c>
      <c r="G803" s="261" t="s">
        <v>1394</v>
      </c>
      <c r="H803" s="260" t="s">
        <v>5410</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5411</v>
      </c>
      <c r="I804" s="264">
        <v>36.200000000000003</v>
      </c>
      <c r="J804" s="261" t="s">
        <v>1394</v>
      </c>
      <c r="K804" s="261">
        <f>F804*I804</f>
        <v>36.200000000000003</v>
      </c>
      <c r="L804" s="261"/>
      <c r="M804" s="261">
        <v>1</v>
      </c>
      <c r="N804" s="261" t="s">
        <v>1394</v>
      </c>
      <c r="O804" s="260" t="s">
        <v>5925</v>
      </c>
      <c r="P804" s="305">
        <v>1193</v>
      </c>
      <c r="Q804" s="261" t="s">
        <v>1394</v>
      </c>
      <c r="R804" s="261">
        <f>M804*P804</f>
        <v>1193</v>
      </c>
      <c r="T804" s="261">
        <v>1</v>
      </c>
      <c r="U804" s="261" t="s">
        <v>1394</v>
      </c>
      <c r="V804" s="260" t="s">
        <v>5926</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148" t="s">
        <v>4150</v>
      </c>
      <c r="N810" s="1148"/>
      <c r="O810" s="1148"/>
      <c r="P810" s="1148"/>
      <c r="Q810" s="1148"/>
      <c r="R810" s="1148"/>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4151</v>
      </c>
      <c r="P811" s="306">
        <v>7000</v>
      </c>
      <c r="Q811" s="262" t="s">
        <v>4152</v>
      </c>
      <c r="R811" s="262">
        <f>P811*M811</f>
        <v>7000</v>
      </c>
      <c r="T811" s="261"/>
      <c r="U811" s="261"/>
      <c r="V811" s="272"/>
      <c r="W811" s="261"/>
      <c r="X811" s="261"/>
      <c r="Y811" s="261"/>
    </row>
    <row r="812" spans="5:26">
      <c r="E812" s="261"/>
      <c r="F812" s="261">
        <v>1.5</v>
      </c>
      <c r="G812" s="261" t="s">
        <v>826</v>
      </c>
      <c r="H812" s="261" t="s">
        <v>5412</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5927</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4032</v>
      </c>
      <c r="I814" s="261">
        <f>I783</f>
        <v>48.05</v>
      </c>
      <c r="J814" s="261" t="s">
        <v>1394</v>
      </c>
      <c r="K814" s="261">
        <f>F814*I814</f>
        <v>48.05</v>
      </c>
      <c r="L814" s="261"/>
      <c r="M814" s="259"/>
      <c r="N814" s="259"/>
      <c r="O814" s="260" t="s">
        <v>2490</v>
      </c>
      <c r="P814" s="1150" t="s">
        <v>657</v>
      </c>
      <c r="Q814" s="1150"/>
      <c r="R814" s="269">
        <v>17.329999999999998</v>
      </c>
      <c r="T814" s="261">
        <v>1</v>
      </c>
      <c r="U814" s="261" t="s">
        <v>1394</v>
      </c>
      <c r="V814" s="260" t="s">
        <v>5928</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155" t="s">
        <v>4727</v>
      </c>
      <c r="N828" s="1155"/>
      <c r="O828" s="1155"/>
      <c r="P828" s="1155"/>
      <c r="Q828" s="1155"/>
      <c r="R828" s="1155"/>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5413</v>
      </c>
      <c r="P830" s="305">
        <v>5363</v>
      </c>
      <c r="Q830" s="261" t="s">
        <v>560</v>
      </c>
      <c r="R830" s="269">
        <f>P830*M830</f>
        <v>5363</v>
      </c>
    </row>
    <row r="831" spans="5:25" ht="47.25">
      <c r="E831" s="261"/>
      <c r="F831" s="261">
        <v>1</v>
      </c>
      <c r="G831" s="261" t="s">
        <v>1394</v>
      </c>
      <c r="H831" s="260" t="s">
        <v>4293</v>
      </c>
      <c r="I831" s="261">
        <f>I545</f>
        <v>348</v>
      </c>
      <c r="J831" s="261" t="s">
        <v>1394</v>
      </c>
      <c r="K831" s="261">
        <f>F831*I831</f>
        <v>348</v>
      </c>
      <c r="L831" s="261"/>
      <c r="M831" s="311">
        <v>1</v>
      </c>
      <c r="N831" s="312" t="s">
        <v>560</v>
      </c>
      <c r="O831" s="312" t="s">
        <v>5414</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5415</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4728</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4729</v>
      </c>
      <c r="P834" s="269">
        <v>127</v>
      </c>
      <c r="Q834" s="312" t="s">
        <v>560</v>
      </c>
      <c r="R834" s="269">
        <f>M834*P834</f>
        <v>1524</v>
      </c>
    </row>
    <row r="835" spans="4:18">
      <c r="E835" s="261"/>
      <c r="F835" s="261">
        <v>5</v>
      </c>
      <c r="G835" s="261" t="s">
        <v>826</v>
      </c>
      <c r="H835" s="261" t="s">
        <v>4619</v>
      </c>
      <c r="I835" s="263">
        <f>I781</f>
        <v>98.6</v>
      </c>
      <c r="J835" s="261" t="s">
        <v>826</v>
      </c>
      <c r="K835" s="261">
        <f t="shared" si="17"/>
        <v>493</v>
      </c>
      <c r="L835" s="261"/>
      <c r="M835" s="269"/>
      <c r="N835" s="261" t="s">
        <v>657</v>
      </c>
      <c r="O835" s="260" t="s">
        <v>4730</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4731</v>
      </c>
      <c r="P836" s="1150" t="s">
        <v>657</v>
      </c>
      <c r="Q836" s="1150"/>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5416</v>
      </c>
      <c r="I839" s="264">
        <v>775</v>
      </c>
      <c r="J839" s="261" t="s">
        <v>1394</v>
      </c>
      <c r="K839" s="261">
        <f t="shared" si="17"/>
        <v>775</v>
      </c>
      <c r="L839" s="261"/>
      <c r="M839" s="261"/>
      <c r="O839" s="260" t="s">
        <v>4732</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4223</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5413</v>
      </c>
      <c r="P845" s="305">
        <v>5363</v>
      </c>
      <c r="Q845" s="261" t="s">
        <v>560</v>
      </c>
      <c r="R845" s="269">
        <f>P845*M845</f>
        <v>5363</v>
      </c>
    </row>
    <row r="846" spans="4:18">
      <c r="E846" s="261"/>
      <c r="F846" s="261"/>
      <c r="G846" s="261"/>
      <c r="H846" s="272" t="s">
        <v>4649</v>
      </c>
      <c r="I846" s="261">
        <f>I797</f>
        <v>104280</v>
      </c>
      <c r="J846" s="278">
        <v>2.7000000000000001E-3</v>
      </c>
      <c r="K846" s="272">
        <f>I846*J846</f>
        <v>281.56</v>
      </c>
      <c r="L846" s="261"/>
      <c r="M846" s="311">
        <v>1</v>
      </c>
      <c r="N846" s="312" t="s">
        <v>560</v>
      </c>
      <c r="O846" s="312" t="s">
        <v>5514</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5513</v>
      </c>
      <c r="P847" s="313">
        <v>130</v>
      </c>
      <c r="Q847" s="312" t="s">
        <v>560</v>
      </c>
      <c r="R847" s="269">
        <f>P847*M847</f>
        <v>390</v>
      </c>
    </row>
    <row r="848" spans="4:18">
      <c r="E848" s="261"/>
      <c r="F848" s="261"/>
      <c r="G848" s="261"/>
      <c r="H848" s="272"/>
      <c r="I848" s="261"/>
      <c r="J848" s="261"/>
      <c r="K848" s="261"/>
      <c r="L848" s="261"/>
      <c r="M848" s="311">
        <v>3</v>
      </c>
      <c r="N848" s="312" t="s">
        <v>560</v>
      </c>
      <c r="O848" s="312" t="s">
        <v>4728</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4729</v>
      </c>
      <c r="P849" s="269">
        <v>127</v>
      </c>
      <c r="Q849" s="312" t="s">
        <v>560</v>
      </c>
      <c r="R849" s="269">
        <f>P849*M849</f>
        <v>1524</v>
      </c>
    </row>
    <row r="850" spans="5:18">
      <c r="E850" s="261"/>
      <c r="F850" s="261"/>
      <c r="G850" s="261"/>
      <c r="H850" s="261" t="s">
        <v>797</v>
      </c>
      <c r="I850" s="261"/>
      <c r="J850" s="261"/>
      <c r="K850" s="261"/>
      <c r="L850" s="261"/>
      <c r="M850" s="269"/>
      <c r="N850" s="261" t="s">
        <v>657</v>
      </c>
      <c r="O850" s="260" t="s">
        <v>4730</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4731</v>
      </c>
      <c r="P851" s="1150" t="s">
        <v>657</v>
      </c>
      <c r="Q851" s="1150"/>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4732</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4223</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4727</v>
      </c>
    </row>
    <row r="862" spans="5:18" ht="31.5">
      <c r="E862" s="261"/>
      <c r="F862" s="261">
        <v>1</v>
      </c>
      <c r="G862" s="261" t="s">
        <v>826</v>
      </c>
      <c r="H862" s="261" t="s">
        <v>4033</v>
      </c>
      <c r="I862" s="261">
        <f>I851</f>
        <v>20</v>
      </c>
      <c r="J862" s="261" t="s">
        <v>826</v>
      </c>
      <c r="K862" s="261">
        <f>F862*I862</f>
        <v>20</v>
      </c>
      <c r="L862" s="261"/>
      <c r="M862" s="269">
        <v>1</v>
      </c>
      <c r="N862" s="261" t="s">
        <v>560</v>
      </c>
      <c r="O862" s="260" t="s">
        <v>5413</v>
      </c>
      <c r="P862" s="269">
        <v>5310</v>
      </c>
      <c r="Q862" s="261" t="s">
        <v>560</v>
      </c>
      <c r="R862" s="269">
        <f>P862*M862</f>
        <v>5310</v>
      </c>
    </row>
    <row r="863" spans="5:18">
      <c r="E863" s="261"/>
      <c r="F863" s="261">
        <v>1</v>
      </c>
      <c r="G863" s="261" t="s">
        <v>826</v>
      </c>
      <c r="H863" s="261" t="s">
        <v>4294</v>
      </c>
      <c r="I863" s="261">
        <f>I282</f>
        <v>29.8</v>
      </c>
      <c r="J863" s="261" t="s">
        <v>826</v>
      </c>
      <c r="K863" s="261">
        <f>F863*I863</f>
        <v>29.8</v>
      </c>
      <c r="L863" s="261"/>
      <c r="M863" s="311">
        <v>1</v>
      </c>
      <c r="N863" s="312" t="s">
        <v>560</v>
      </c>
      <c r="O863" s="312" t="s">
        <v>5414</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5545</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5546</v>
      </c>
      <c r="P865" s="311">
        <v>829</v>
      </c>
      <c r="Q865" s="312" t="s">
        <v>560</v>
      </c>
      <c r="R865" s="269">
        <f>P865*M865</f>
        <v>2487</v>
      </c>
    </row>
    <row r="866" spans="5:18">
      <c r="E866" s="261"/>
      <c r="F866" s="261"/>
      <c r="G866" s="261"/>
      <c r="H866" s="272"/>
      <c r="I866" s="261"/>
      <c r="J866" s="261"/>
      <c r="K866" s="261"/>
      <c r="L866" s="261"/>
      <c r="M866" s="269">
        <v>12</v>
      </c>
      <c r="N866" s="312" t="s">
        <v>560</v>
      </c>
      <c r="O866" s="260" t="s">
        <v>4729</v>
      </c>
      <c r="P866" s="269">
        <v>173</v>
      </c>
      <c r="Q866" s="312" t="s">
        <v>560</v>
      </c>
      <c r="R866" s="269">
        <f>P866*M866</f>
        <v>2076</v>
      </c>
    </row>
    <row r="867" spans="5:18">
      <c r="E867" s="261"/>
      <c r="F867" s="261"/>
      <c r="G867" s="261"/>
      <c r="H867" s="272" t="s">
        <v>2627</v>
      </c>
      <c r="I867" s="261"/>
      <c r="J867" s="261"/>
      <c r="K867" s="261"/>
      <c r="L867" s="261"/>
      <c r="M867" s="269"/>
      <c r="N867" s="261" t="s">
        <v>657</v>
      </c>
      <c r="O867" s="260" t="s">
        <v>4730</v>
      </c>
      <c r="P867" s="269"/>
      <c r="Q867" s="261" t="s">
        <v>657</v>
      </c>
      <c r="R867" s="269">
        <v>55.3</v>
      </c>
    </row>
    <row r="868" spans="5:18">
      <c r="E868" s="261"/>
      <c r="F868" s="261">
        <v>1</v>
      </c>
      <c r="G868" s="261" t="s">
        <v>1394</v>
      </c>
      <c r="H868" s="261" t="s">
        <v>5417</v>
      </c>
      <c r="I868" s="263">
        <v>37.1</v>
      </c>
      <c r="J868" s="261" t="s">
        <v>1394</v>
      </c>
      <c r="K868" s="261">
        <f>F868*I868</f>
        <v>37.1</v>
      </c>
      <c r="L868" s="261"/>
      <c r="M868" s="269"/>
      <c r="N868" s="261" t="s">
        <v>657</v>
      </c>
      <c r="O868" s="260" t="s">
        <v>4731</v>
      </c>
      <c r="P868" s="1150" t="s">
        <v>657</v>
      </c>
      <c r="Q868" s="1150"/>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5547</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4223</v>
      </c>
      <c r="R873" s="274">
        <v>20473</v>
      </c>
    </row>
    <row r="874" spans="5:18">
      <c r="E874" s="261"/>
      <c r="F874" s="261"/>
      <c r="G874" s="261"/>
      <c r="H874" s="261"/>
      <c r="I874" s="261"/>
      <c r="J874" s="261"/>
      <c r="K874" s="261"/>
      <c r="L874" s="261"/>
      <c r="M874" s="261"/>
    </row>
    <row r="875" spans="5:18" ht="47.25">
      <c r="E875" s="261"/>
      <c r="F875" s="261"/>
      <c r="G875" s="261"/>
      <c r="H875" s="260" t="s">
        <v>6062</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5418</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5419</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4650</v>
      </c>
      <c r="I889" s="264">
        <v>225.4</v>
      </c>
      <c r="J889" s="261" t="s">
        <v>1394</v>
      </c>
      <c r="K889" s="261">
        <f>F889*I889</f>
        <v>225.4</v>
      </c>
      <c r="L889" s="261"/>
      <c r="M889" s="261"/>
    </row>
    <row r="890" spans="5:13">
      <c r="F890" s="261">
        <v>1</v>
      </c>
      <c r="G890" s="261" t="s">
        <v>1394</v>
      </c>
      <c r="H890" s="261" t="s">
        <v>5420</v>
      </c>
      <c r="I890" s="264">
        <v>115.1</v>
      </c>
      <c r="J890" s="261" t="s">
        <v>1394</v>
      </c>
      <c r="K890" s="261">
        <f>F890*I890</f>
        <v>115.1</v>
      </c>
      <c r="L890" s="261"/>
      <c r="M890" s="261"/>
    </row>
    <row r="891" spans="5:13">
      <c r="F891" s="265">
        <v>0.23799999999999999</v>
      </c>
      <c r="G891" s="261" t="s">
        <v>2151</v>
      </c>
      <c r="H891" s="261" t="s">
        <v>4651</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4652</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5421</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6063</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5422</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5423</v>
      </c>
      <c r="I934" s="263">
        <v>1553</v>
      </c>
      <c r="J934" s="261" t="s">
        <v>1394</v>
      </c>
      <c r="K934" s="261">
        <f>F934*I934</f>
        <v>1553</v>
      </c>
      <c r="L934" s="261"/>
      <c r="M934" s="261"/>
    </row>
    <row r="935" spans="5:13">
      <c r="E935" s="261"/>
      <c r="F935" s="261">
        <v>1</v>
      </c>
      <c r="G935" s="261" t="s">
        <v>1394</v>
      </c>
      <c r="H935" s="261" t="s">
        <v>5424</v>
      </c>
      <c r="I935" s="264">
        <v>185.9</v>
      </c>
      <c r="J935" s="261" t="s">
        <v>1394</v>
      </c>
      <c r="K935" s="261">
        <f>F935*I935</f>
        <v>185.9</v>
      </c>
      <c r="L935" s="261"/>
      <c r="M935" s="261"/>
    </row>
    <row r="936" spans="5:13">
      <c r="E936" s="261"/>
      <c r="F936" s="261"/>
      <c r="G936" s="261"/>
      <c r="H936" s="271" t="s">
        <v>2854</v>
      </c>
      <c r="I936" s="261"/>
      <c r="J936" s="261"/>
      <c r="K936" s="272">
        <f>SUM(K934:K935)+0.8</f>
        <v>1739.7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5425</v>
      </c>
      <c r="I939" s="264">
        <v>309</v>
      </c>
      <c r="J939" s="261" t="s">
        <v>1394</v>
      </c>
      <c r="K939" s="261">
        <f>F939*I939</f>
        <v>309</v>
      </c>
      <c r="L939" s="261"/>
      <c r="M939" s="261"/>
    </row>
    <row r="940" spans="5:13">
      <c r="E940" s="261"/>
      <c r="F940" s="261">
        <v>1</v>
      </c>
      <c r="G940" s="261" t="s">
        <v>1394</v>
      </c>
      <c r="H940" s="261" t="s">
        <v>5426</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5427</v>
      </c>
      <c r="I946" s="264">
        <v>279.2</v>
      </c>
      <c r="J946" s="261" t="s">
        <v>1394</v>
      </c>
      <c r="K946" s="261">
        <f>F946*I946</f>
        <v>279.2</v>
      </c>
      <c r="L946" s="261"/>
      <c r="M946" s="261"/>
    </row>
    <row r="947" spans="5:13">
      <c r="E947" s="261"/>
      <c r="F947" s="261">
        <v>1</v>
      </c>
      <c r="G947" s="261" t="s">
        <v>1394</v>
      </c>
      <c r="H947" s="261" t="s">
        <v>5428</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4625</v>
      </c>
      <c r="I954" s="261"/>
      <c r="J954" s="261"/>
      <c r="K954" s="261"/>
      <c r="L954" s="261"/>
      <c r="M954" s="261"/>
    </row>
    <row r="955" spans="5:13">
      <c r="E955" s="261"/>
      <c r="F955" s="261">
        <v>1</v>
      </c>
      <c r="G955" s="261" t="s">
        <v>1394</v>
      </c>
      <c r="H955" s="261" t="s">
        <v>5929</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4653</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4298</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5429</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4620</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5430</v>
      </c>
      <c r="I985" s="264">
        <v>13.8</v>
      </c>
      <c r="J985" s="261" t="s">
        <v>1394</v>
      </c>
      <c r="K985" s="261">
        <f t="shared" si="18"/>
        <v>138</v>
      </c>
      <c r="L985" s="261"/>
      <c r="M985" s="261"/>
    </row>
    <row r="986" spans="5:13">
      <c r="E986" s="261"/>
      <c r="F986" s="261">
        <v>1</v>
      </c>
      <c r="G986" s="261" t="s">
        <v>1394</v>
      </c>
      <c r="H986" s="261" t="s">
        <v>5431</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6053</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4299</v>
      </c>
      <c r="I1030" s="261"/>
      <c r="J1030" s="261"/>
      <c r="K1030" s="264">
        <f>K63</f>
        <v>417</v>
      </c>
      <c r="L1030" s="261"/>
      <c r="M1030" s="261"/>
    </row>
    <row r="1031" spans="5:13">
      <c r="E1031" s="261"/>
      <c r="F1031" s="261"/>
      <c r="H1031" s="261" t="s">
        <v>5432</v>
      </c>
      <c r="I1031" s="261"/>
      <c r="J1031" s="261"/>
      <c r="K1031" s="264">
        <f>10*16.65</f>
        <v>166.5</v>
      </c>
      <c r="L1031" s="261"/>
      <c r="M1031" s="261"/>
    </row>
    <row r="1032" spans="5:13">
      <c r="E1032" s="261"/>
      <c r="F1032" s="261"/>
      <c r="G1032" s="261"/>
      <c r="H1032" s="261" t="s">
        <v>5433</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4657</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6064</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4654</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5434</v>
      </c>
      <c r="I1053" s="261"/>
      <c r="J1053" s="261"/>
      <c r="K1053" s="264">
        <f>69.9*10</f>
        <v>699</v>
      </c>
      <c r="L1053" s="261"/>
      <c r="M1053" s="261"/>
    </row>
    <row r="1054" spans="5:13">
      <c r="E1054" s="261"/>
      <c r="F1054" s="261"/>
      <c r="G1054" s="261"/>
      <c r="H1054" s="261" t="s">
        <v>6038</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4656</v>
      </c>
      <c r="I1061" s="261"/>
      <c r="J1061" s="261"/>
      <c r="K1061" s="261"/>
      <c r="L1061" s="261"/>
      <c r="M1061" s="261"/>
    </row>
    <row r="1062" spans="5:13" ht="173.25">
      <c r="E1062" s="261"/>
      <c r="F1062" s="261"/>
      <c r="G1062" s="261"/>
      <c r="H1062" s="260" t="s">
        <v>4655</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4659</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4658</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4663</v>
      </c>
      <c r="I1111" s="264">
        <v>43.7</v>
      </c>
      <c r="J1111" s="261" t="s">
        <v>3115</v>
      </c>
      <c r="K1111" s="261">
        <f t="shared" si="22"/>
        <v>43.7</v>
      </c>
      <c r="L1111" s="261"/>
      <c r="M1111" s="261"/>
    </row>
    <row r="1112" spans="5:13">
      <c r="E1112" s="261"/>
      <c r="F1112" s="261">
        <v>300</v>
      </c>
      <c r="G1112" s="261" t="s">
        <v>1432</v>
      </c>
      <c r="H1112" s="260" t="s">
        <v>4664</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4034</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4300</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4035</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4301</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4351</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4352</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4353</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4354</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4153</v>
      </c>
      <c r="I1196" s="322"/>
      <c r="J1196" s="325"/>
      <c r="K1196" s="326"/>
      <c r="L1196" s="261"/>
      <c r="M1196" s="261"/>
    </row>
    <row r="1197" spans="5:13">
      <c r="E1197" s="261"/>
      <c r="F1197" s="322"/>
      <c r="G1197" s="323"/>
      <c r="H1197" s="327" t="s">
        <v>4154</v>
      </c>
      <c r="I1197" s="322"/>
      <c r="J1197" s="325"/>
      <c r="K1197" s="322"/>
      <c r="L1197" s="261"/>
      <c r="M1197" s="261"/>
    </row>
    <row r="1198" spans="5:13">
      <c r="E1198" s="261"/>
      <c r="F1198" s="322"/>
      <c r="G1198" s="323"/>
      <c r="H1198" s="328" t="s">
        <v>4155</v>
      </c>
      <c r="I1198" s="322"/>
      <c r="J1198" s="325"/>
      <c r="K1198" s="322"/>
      <c r="L1198" s="261"/>
      <c r="M1198" s="261"/>
    </row>
    <row r="1199" spans="5:13">
      <c r="E1199" s="261"/>
      <c r="F1199" s="322"/>
      <c r="G1199" s="323"/>
      <c r="H1199" s="327" t="s">
        <v>4156</v>
      </c>
      <c r="I1199" s="322"/>
      <c r="J1199" s="325">
        <f>3.3*3.3*2+6.6+6.6+6.6</f>
        <v>41.58</v>
      </c>
      <c r="K1199" s="322"/>
      <c r="L1199" s="261"/>
      <c r="M1199" s="261"/>
    </row>
    <row r="1200" spans="5:13">
      <c r="E1200" s="261"/>
      <c r="F1200" s="322"/>
      <c r="G1200" s="323"/>
      <c r="H1200" s="327" t="s">
        <v>4157</v>
      </c>
      <c r="I1200" s="322"/>
      <c r="J1200" s="325"/>
      <c r="K1200" s="322"/>
      <c r="L1200" s="261"/>
      <c r="M1200" s="261"/>
    </row>
    <row r="1201" spans="5:13">
      <c r="E1201" s="261"/>
      <c r="F1201" s="322"/>
      <c r="G1201" s="323"/>
      <c r="H1201" s="327" t="s">
        <v>4158</v>
      </c>
      <c r="I1201" s="322"/>
      <c r="J1201" s="325"/>
      <c r="K1201" s="322"/>
      <c r="L1201" s="261"/>
      <c r="M1201" s="261"/>
    </row>
    <row r="1202" spans="5:13">
      <c r="E1202" s="261"/>
      <c r="F1202" s="322"/>
      <c r="G1202" s="323"/>
      <c r="H1202" s="327" t="s">
        <v>4159</v>
      </c>
      <c r="I1202" s="322"/>
      <c r="J1202" s="325"/>
      <c r="K1202" s="322"/>
      <c r="L1202" s="261"/>
      <c r="M1202" s="261"/>
    </row>
    <row r="1203" spans="5:13">
      <c r="E1203" s="261"/>
      <c r="F1203" s="322"/>
      <c r="G1203" s="323"/>
      <c r="H1203" s="327" t="s">
        <v>4160</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4161</v>
      </c>
      <c r="I1205" s="322"/>
      <c r="J1205" s="325"/>
      <c r="K1205" s="322"/>
      <c r="L1205" s="261"/>
      <c r="M1205" s="261"/>
    </row>
    <row r="1206" spans="5:13">
      <c r="E1206" s="261"/>
      <c r="F1206" s="329"/>
      <c r="G1206" s="323"/>
      <c r="H1206" s="328" t="s">
        <v>4162</v>
      </c>
      <c r="I1206" s="322"/>
      <c r="J1206" s="325"/>
      <c r="K1206" s="322"/>
      <c r="L1206" s="261"/>
      <c r="M1206" s="261"/>
    </row>
    <row r="1207" spans="5:13">
      <c r="E1207" s="261"/>
      <c r="F1207" s="322"/>
      <c r="G1207" s="323"/>
      <c r="H1207" s="327" t="s">
        <v>6065</v>
      </c>
      <c r="I1207" s="322"/>
      <c r="J1207" s="325"/>
      <c r="K1207" s="322"/>
      <c r="L1207" s="261"/>
      <c r="M1207" s="261"/>
    </row>
    <row r="1208" spans="5:13">
      <c r="E1208" s="261"/>
      <c r="F1208" s="330">
        <v>53.512999999999998</v>
      </c>
      <c r="G1208" s="323" t="s">
        <v>913</v>
      </c>
      <c r="H1208" s="327" t="s">
        <v>5456</v>
      </c>
      <c r="I1208" s="331">
        <v>51.4</v>
      </c>
      <c r="J1208" s="325" t="s">
        <v>913</v>
      </c>
      <c r="K1208" s="322">
        <f>I1208*F1208</f>
        <v>2750.57</v>
      </c>
      <c r="L1208" s="261"/>
      <c r="M1208" s="261"/>
    </row>
    <row r="1209" spans="5:13">
      <c r="E1209" s="261"/>
      <c r="F1209" s="329"/>
      <c r="G1209" s="323"/>
      <c r="H1209" s="328" t="s">
        <v>4163</v>
      </c>
      <c r="I1209" s="322"/>
      <c r="J1209" s="325"/>
      <c r="K1209" s="322"/>
      <c r="L1209" s="261"/>
      <c r="M1209" s="261"/>
    </row>
    <row r="1210" spans="5:13">
      <c r="E1210" s="261"/>
      <c r="F1210" s="322"/>
      <c r="G1210" s="323"/>
      <c r="H1210" s="327" t="s">
        <v>4164</v>
      </c>
      <c r="I1210" s="322"/>
      <c r="J1210" s="325"/>
      <c r="K1210" s="322"/>
      <c r="L1210" s="261"/>
      <c r="M1210" s="261"/>
    </row>
    <row r="1211" spans="5:13">
      <c r="E1211" s="261"/>
      <c r="F1211" s="322"/>
      <c r="G1211" s="323"/>
      <c r="H1211" s="327" t="s">
        <v>4165</v>
      </c>
      <c r="I1211" s="322"/>
      <c r="J1211" s="325"/>
      <c r="K1211" s="322"/>
      <c r="L1211" s="261"/>
      <c r="M1211" s="261"/>
    </row>
    <row r="1212" spans="5:13">
      <c r="E1212" s="261"/>
      <c r="F1212" s="322"/>
      <c r="G1212" s="323"/>
      <c r="H1212" s="327" t="s">
        <v>4166</v>
      </c>
      <c r="I1212" s="322"/>
      <c r="J1212" s="325"/>
      <c r="K1212" s="322"/>
      <c r="L1212" s="261"/>
      <c r="M1212" s="261"/>
    </row>
    <row r="1213" spans="5:13">
      <c r="E1213" s="261"/>
      <c r="F1213" s="322"/>
      <c r="G1213" s="323"/>
      <c r="H1213" s="327" t="s">
        <v>4167</v>
      </c>
      <c r="I1213" s="322"/>
      <c r="J1213" s="325"/>
      <c r="K1213" s="322"/>
      <c r="L1213" s="261"/>
      <c r="M1213" s="261"/>
    </row>
    <row r="1214" spans="5:13" ht="25.5">
      <c r="E1214" s="261"/>
      <c r="F1214" s="322"/>
      <c r="G1214" s="323"/>
      <c r="H1214" s="327" t="s">
        <v>4168</v>
      </c>
      <c r="I1214" s="322"/>
      <c r="J1214" s="325"/>
      <c r="K1214" s="322"/>
      <c r="L1214" s="261"/>
      <c r="M1214" s="261"/>
    </row>
    <row r="1215" spans="5:13">
      <c r="E1215" s="261"/>
      <c r="F1215" s="322"/>
      <c r="G1215" s="323"/>
      <c r="H1215" s="327" t="s">
        <v>4169</v>
      </c>
      <c r="I1215" s="322"/>
      <c r="J1215" s="325"/>
      <c r="K1215" s="322"/>
      <c r="L1215" s="261"/>
      <c r="M1215" s="261"/>
    </row>
    <row r="1216" spans="5:13">
      <c r="E1216" s="261"/>
      <c r="F1216" s="322"/>
      <c r="G1216" s="323"/>
      <c r="H1216" s="327" t="s">
        <v>4170</v>
      </c>
      <c r="I1216" s="322"/>
      <c r="J1216" s="325"/>
      <c r="K1216" s="322"/>
      <c r="L1216" s="261"/>
      <c r="M1216" s="261"/>
    </row>
    <row r="1217" spans="5:13">
      <c r="E1217" s="261"/>
      <c r="F1217" s="322">
        <v>18.600000000000001</v>
      </c>
      <c r="G1217" s="323" t="s">
        <v>913</v>
      </c>
      <c r="H1217" s="327" t="s">
        <v>4171</v>
      </c>
      <c r="I1217" s="322">
        <f>I1208</f>
        <v>51.4</v>
      </c>
      <c r="J1217" s="325" t="s">
        <v>913</v>
      </c>
      <c r="K1217" s="322">
        <f>SUM(F1217*I1217)</f>
        <v>956.04</v>
      </c>
      <c r="L1217" s="261"/>
      <c r="M1217" s="261"/>
    </row>
    <row r="1218" spans="5:13">
      <c r="E1218" s="261"/>
      <c r="F1218" s="322"/>
      <c r="G1218" s="323"/>
      <c r="H1218" s="328" t="s">
        <v>4172</v>
      </c>
      <c r="I1218" s="322"/>
      <c r="J1218" s="325"/>
      <c r="K1218" s="322"/>
      <c r="L1218" s="261"/>
      <c r="M1218" s="261"/>
    </row>
    <row r="1219" spans="5:13">
      <c r="E1219" s="261"/>
      <c r="F1219" s="322"/>
      <c r="G1219" s="323"/>
      <c r="H1219" s="327" t="s">
        <v>4173</v>
      </c>
      <c r="I1219" s="322"/>
      <c r="J1219" s="325"/>
      <c r="K1219" s="322"/>
      <c r="L1219" s="261"/>
      <c r="M1219" s="261"/>
    </row>
    <row r="1220" spans="5:13">
      <c r="E1220" s="261"/>
      <c r="F1220" s="322"/>
      <c r="G1220" s="323"/>
      <c r="H1220" s="327" t="s">
        <v>4174</v>
      </c>
      <c r="I1220" s="322"/>
      <c r="J1220" s="325"/>
      <c r="K1220" s="322"/>
      <c r="L1220" s="261"/>
      <c r="M1220" s="261"/>
    </row>
    <row r="1221" spans="5:13">
      <c r="E1221" s="261"/>
      <c r="F1221" s="322"/>
      <c r="G1221" s="323"/>
      <c r="H1221" s="327" t="s">
        <v>4175</v>
      </c>
      <c r="I1221" s="322"/>
      <c r="J1221" s="325"/>
      <c r="K1221" s="322"/>
      <c r="L1221" s="261"/>
      <c r="M1221" s="261"/>
    </row>
    <row r="1222" spans="5:13">
      <c r="E1222" s="261"/>
      <c r="F1222" s="322"/>
      <c r="G1222" s="323"/>
      <c r="H1222" s="327" t="s">
        <v>4176</v>
      </c>
      <c r="I1222" s="322"/>
      <c r="J1222" s="325"/>
      <c r="K1222" s="322"/>
      <c r="L1222" s="261"/>
      <c r="M1222" s="261"/>
    </row>
    <row r="1223" spans="5:13">
      <c r="E1223" s="261"/>
      <c r="F1223" s="322"/>
      <c r="G1223" s="323"/>
      <c r="H1223" s="327" t="s">
        <v>4177</v>
      </c>
      <c r="I1223" s="322"/>
      <c r="J1223" s="325"/>
      <c r="K1223" s="322"/>
      <c r="L1223" s="261"/>
      <c r="M1223" s="261"/>
    </row>
    <row r="1224" spans="5:13" ht="25.5">
      <c r="E1224" s="261"/>
      <c r="F1224" s="322"/>
      <c r="G1224" s="323"/>
      <c r="H1224" s="327" t="s">
        <v>4178</v>
      </c>
      <c r="I1224" s="322"/>
      <c r="J1224" s="325"/>
      <c r="K1224" s="322"/>
      <c r="L1224" s="261"/>
      <c r="M1224" s="261"/>
    </row>
    <row r="1225" spans="5:13">
      <c r="E1225" s="261"/>
      <c r="F1225" s="322"/>
      <c r="G1225" s="323"/>
      <c r="H1225" s="327" t="s">
        <v>4179</v>
      </c>
      <c r="I1225" s="322"/>
      <c r="J1225" s="325"/>
      <c r="K1225" s="322"/>
      <c r="L1225" s="261"/>
      <c r="M1225" s="261"/>
    </row>
    <row r="1226" spans="5:13">
      <c r="E1226" s="261"/>
      <c r="F1226" s="322"/>
      <c r="G1226" s="323"/>
      <c r="H1226" s="327" t="s">
        <v>4180</v>
      </c>
      <c r="I1226" s="322"/>
      <c r="J1226" s="325"/>
      <c r="K1226" s="322"/>
      <c r="L1226" s="261"/>
      <c r="M1226" s="261"/>
    </row>
    <row r="1227" spans="5:13" ht="25.5">
      <c r="E1227" s="261"/>
      <c r="F1227" s="322"/>
      <c r="G1227" s="323"/>
      <c r="H1227" s="327" t="s">
        <v>4181</v>
      </c>
      <c r="I1227" s="322"/>
      <c r="J1227" s="325"/>
      <c r="K1227" s="322"/>
      <c r="L1227" s="261"/>
      <c r="M1227" s="261"/>
    </row>
    <row r="1228" spans="5:13">
      <c r="E1228" s="261"/>
      <c r="F1228" s="322"/>
      <c r="G1228" s="323"/>
      <c r="H1228" s="327" t="s">
        <v>4182</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4183</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5435</v>
      </c>
      <c r="I1232" s="331">
        <v>562</v>
      </c>
      <c r="J1232" s="325" t="s">
        <v>913</v>
      </c>
      <c r="K1232" s="322">
        <f>SUM(F1232*I1232)</f>
        <v>3327.04</v>
      </c>
      <c r="L1232" s="261"/>
      <c r="M1232" s="261"/>
    </row>
    <row r="1233" spans="5:13">
      <c r="E1233" s="261"/>
      <c r="F1233" s="322">
        <f>F1232</f>
        <v>5.92</v>
      </c>
      <c r="G1233" s="323" t="s">
        <v>913</v>
      </c>
      <c r="H1233" s="327" t="s">
        <v>4184</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4185</v>
      </c>
      <c r="I1235" s="322"/>
      <c r="J1235" s="325"/>
      <c r="K1235" s="322"/>
      <c r="L1235" s="261"/>
      <c r="M1235" s="261"/>
    </row>
    <row r="1236" spans="5:13">
      <c r="E1236" s="261"/>
      <c r="F1236" s="322"/>
      <c r="G1236" s="323"/>
      <c r="H1236" s="327" t="s">
        <v>4186</v>
      </c>
      <c r="I1236" s="322"/>
      <c r="J1236" s="325"/>
      <c r="K1236" s="322"/>
      <c r="L1236" s="261"/>
      <c r="M1236" s="261"/>
    </row>
    <row r="1237" spans="5:13">
      <c r="E1237" s="261"/>
      <c r="F1237" s="322"/>
      <c r="G1237" s="323"/>
      <c r="H1237" s="327" t="s">
        <v>4187</v>
      </c>
      <c r="I1237" s="322"/>
      <c r="J1237" s="325"/>
      <c r="K1237" s="322"/>
      <c r="L1237" s="261"/>
      <c r="M1237" s="261"/>
    </row>
    <row r="1238" spans="5:13">
      <c r="E1238" s="261"/>
      <c r="F1238" s="322"/>
      <c r="G1238" s="323"/>
      <c r="H1238" s="327" t="s">
        <v>4188</v>
      </c>
      <c r="I1238" s="322"/>
      <c r="J1238" s="325"/>
      <c r="K1238" s="322"/>
      <c r="L1238" s="261"/>
      <c r="M1238" s="261"/>
    </row>
    <row r="1239" spans="5:13">
      <c r="E1239" s="261"/>
      <c r="F1239" s="322">
        <v>3.6</v>
      </c>
      <c r="G1239" s="323" t="s">
        <v>913</v>
      </c>
      <c r="H1239" s="327" t="s">
        <v>5436</v>
      </c>
      <c r="I1239" s="331">
        <v>94.9</v>
      </c>
      <c r="J1239" s="325" t="s">
        <v>913</v>
      </c>
      <c r="K1239" s="322">
        <f>I1239*F1239</f>
        <v>341.64</v>
      </c>
      <c r="L1239" s="261"/>
      <c r="M1239" s="261"/>
    </row>
    <row r="1240" spans="5:13">
      <c r="E1240" s="261"/>
      <c r="F1240" s="322"/>
      <c r="G1240" s="323"/>
      <c r="H1240" s="328" t="s">
        <v>4189</v>
      </c>
      <c r="I1240" s="322"/>
      <c r="J1240" s="325"/>
      <c r="K1240" s="322"/>
      <c r="L1240" s="261"/>
      <c r="M1240" s="261"/>
    </row>
    <row r="1241" spans="5:13">
      <c r="E1241" s="261"/>
      <c r="F1241" s="322">
        <v>3</v>
      </c>
      <c r="G1241" s="323" t="s">
        <v>1030</v>
      </c>
      <c r="H1241" s="327" t="s">
        <v>5437</v>
      </c>
      <c r="I1241" s="331">
        <v>555</v>
      </c>
      <c r="J1241" s="325" t="s">
        <v>1398</v>
      </c>
      <c r="K1241" s="322">
        <f>I1241*F1241</f>
        <v>1665</v>
      </c>
      <c r="L1241" s="261"/>
      <c r="M1241" s="261"/>
    </row>
    <row r="1242" spans="5:13">
      <c r="E1242" s="261"/>
      <c r="F1242" s="322">
        <v>1</v>
      </c>
      <c r="G1242" s="323" t="s">
        <v>1030</v>
      </c>
      <c r="H1242" s="327" t="s">
        <v>5438</v>
      </c>
      <c r="I1242" s="331">
        <v>343.7</v>
      </c>
      <c r="J1242" s="325" t="s">
        <v>1398</v>
      </c>
      <c r="K1242" s="322">
        <f>I1242*F1242</f>
        <v>343.7</v>
      </c>
      <c r="L1242" s="261"/>
      <c r="M1242" s="261"/>
    </row>
    <row r="1243" spans="5:13">
      <c r="E1243" s="261"/>
      <c r="F1243" s="322">
        <v>1</v>
      </c>
      <c r="G1243" s="323" t="s">
        <v>1030</v>
      </c>
      <c r="H1243" s="327" t="s">
        <v>4190</v>
      </c>
      <c r="I1243" s="332">
        <f>I1242</f>
        <v>343.7</v>
      </c>
      <c r="J1243" s="325" t="s">
        <v>1398</v>
      </c>
      <c r="K1243" s="322">
        <f>I1243*F1243</f>
        <v>343.7</v>
      </c>
      <c r="L1243" s="261"/>
      <c r="M1243" s="261"/>
    </row>
    <row r="1244" spans="5:13">
      <c r="E1244" s="261"/>
      <c r="F1244" s="333">
        <v>800</v>
      </c>
      <c r="G1244" s="325" t="s">
        <v>4191</v>
      </c>
      <c r="H1244" s="327" t="s">
        <v>4192</v>
      </c>
      <c r="I1244" s="322">
        <v>1</v>
      </c>
      <c r="J1244" s="325" t="s">
        <v>4191</v>
      </c>
      <c r="K1244" s="322">
        <f>SUM(F1244*I1244)</f>
        <v>800</v>
      </c>
      <c r="L1244" s="261"/>
      <c r="M1244" s="261"/>
    </row>
    <row r="1245" spans="5:13">
      <c r="E1245" s="261"/>
      <c r="F1245" s="322"/>
      <c r="G1245" s="323"/>
      <c r="H1245" s="327" t="s">
        <v>4193</v>
      </c>
      <c r="I1245" s="322"/>
      <c r="J1245" s="325"/>
      <c r="K1245" s="322"/>
      <c r="L1245" s="261"/>
      <c r="M1245" s="261"/>
    </row>
    <row r="1246" spans="5:13">
      <c r="E1246" s="261"/>
      <c r="F1246" s="322"/>
      <c r="G1246" s="323"/>
      <c r="H1246" s="327" t="s">
        <v>4194</v>
      </c>
      <c r="I1246" s="322"/>
      <c r="J1246" s="325"/>
      <c r="K1246" s="322"/>
      <c r="L1246" s="261"/>
      <c r="M1246" s="261"/>
    </row>
    <row r="1247" spans="5:13">
      <c r="E1247" s="261"/>
      <c r="F1247" s="334">
        <v>0.27</v>
      </c>
      <c r="G1247" s="323" t="s">
        <v>6066</v>
      </c>
      <c r="H1247" s="327" t="s">
        <v>5439</v>
      </c>
      <c r="I1247" s="322">
        <f>630*2</f>
        <v>1260</v>
      </c>
      <c r="J1247" s="335" t="s">
        <v>6066</v>
      </c>
      <c r="K1247" s="322">
        <f t="shared" ref="K1247:K1254" si="23">SUM(F1247*I1247)</f>
        <v>340.2</v>
      </c>
      <c r="L1247" s="261"/>
      <c r="M1247" s="261"/>
    </row>
    <row r="1248" spans="5:13">
      <c r="E1248" s="261"/>
      <c r="F1248" s="322">
        <v>9</v>
      </c>
      <c r="G1248" s="323" t="s">
        <v>1432</v>
      </c>
      <c r="H1248" s="327" t="s">
        <v>4195</v>
      </c>
      <c r="I1248" s="332">
        <v>20</v>
      </c>
      <c r="J1248" s="325" t="s">
        <v>1714</v>
      </c>
      <c r="K1248" s="322">
        <f t="shared" si="23"/>
        <v>180</v>
      </c>
      <c r="L1248" s="261"/>
      <c r="M1248" s="261"/>
    </row>
    <row r="1249" spans="5:13">
      <c r="E1249" s="261"/>
      <c r="F1249" s="322">
        <v>2</v>
      </c>
      <c r="G1249" s="323" t="s">
        <v>145</v>
      </c>
      <c r="H1249" s="327" t="s">
        <v>4196</v>
      </c>
      <c r="I1249" s="332">
        <v>280</v>
      </c>
      <c r="J1249" s="325" t="s">
        <v>145</v>
      </c>
      <c r="K1249" s="322">
        <f t="shared" si="23"/>
        <v>560</v>
      </c>
      <c r="L1249" s="261"/>
      <c r="M1249" s="261"/>
    </row>
    <row r="1250" spans="5:13">
      <c r="E1250" s="261"/>
      <c r="F1250" s="322">
        <v>5</v>
      </c>
      <c r="G1250" s="323" t="s">
        <v>3440</v>
      </c>
      <c r="H1250" s="327" t="s">
        <v>5440</v>
      </c>
      <c r="I1250" s="331">
        <v>10.45</v>
      </c>
      <c r="J1250" s="335" t="s">
        <v>3440</v>
      </c>
      <c r="K1250" s="322">
        <f t="shared" si="23"/>
        <v>52.25</v>
      </c>
      <c r="L1250" s="261"/>
      <c r="M1250" s="261"/>
    </row>
    <row r="1251" spans="5:13">
      <c r="E1251" s="261"/>
      <c r="F1251" s="336">
        <v>53.512999999999998</v>
      </c>
      <c r="G1251" s="337" t="s">
        <v>913</v>
      </c>
      <c r="H1251" s="327" t="s">
        <v>5441</v>
      </c>
      <c r="I1251" s="338">
        <v>47.8</v>
      </c>
      <c r="J1251" s="339" t="s">
        <v>913</v>
      </c>
      <c r="K1251" s="338">
        <f t="shared" si="23"/>
        <v>2557.92</v>
      </c>
      <c r="L1251" s="261"/>
      <c r="M1251" s="261"/>
    </row>
    <row r="1252" spans="5:13">
      <c r="E1252" s="261"/>
      <c r="F1252" s="336">
        <v>18.600000000000001</v>
      </c>
      <c r="G1252" s="337" t="s">
        <v>913</v>
      </c>
      <c r="H1252" s="327" t="s">
        <v>5442</v>
      </c>
      <c r="I1252" s="338">
        <v>47.8</v>
      </c>
      <c r="J1252" s="339" t="s">
        <v>913</v>
      </c>
      <c r="K1252" s="338">
        <f>SUM(F1252*I1252)</f>
        <v>889.08</v>
      </c>
      <c r="L1252" s="261"/>
      <c r="M1252" s="261"/>
    </row>
    <row r="1253" spans="5:13">
      <c r="E1253" s="261"/>
      <c r="F1253" s="322">
        <v>12</v>
      </c>
      <c r="G1253" s="323" t="s">
        <v>1432</v>
      </c>
      <c r="H1253" s="327" t="s">
        <v>4197</v>
      </c>
      <c r="I1253" s="332">
        <v>1898</v>
      </c>
      <c r="J1253" s="335" t="s">
        <v>1398</v>
      </c>
      <c r="K1253" s="322">
        <f t="shared" si="23"/>
        <v>22776</v>
      </c>
      <c r="L1253" s="261"/>
      <c r="M1253" s="261"/>
    </row>
    <row r="1254" spans="5:13">
      <c r="E1254" s="261"/>
      <c r="F1254" s="322">
        <v>83.16</v>
      </c>
      <c r="G1254" s="323" t="s">
        <v>4198</v>
      </c>
      <c r="H1254" s="327" t="s">
        <v>4199</v>
      </c>
      <c r="I1254" s="322">
        <v>10</v>
      </c>
      <c r="J1254" s="335" t="s">
        <v>4200</v>
      </c>
      <c r="K1254" s="322">
        <f t="shared" si="23"/>
        <v>831.6</v>
      </c>
      <c r="L1254" s="261"/>
      <c r="M1254" s="261"/>
    </row>
    <row r="1255" spans="5:13" ht="25.5">
      <c r="E1255" s="261"/>
      <c r="F1255" s="329">
        <v>24</v>
      </c>
      <c r="G1255" s="323" t="s">
        <v>4201</v>
      </c>
      <c r="H1255" s="340" t="s">
        <v>6067</v>
      </c>
      <c r="I1255" s="322">
        <v>56.7</v>
      </c>
      <c r="J1255" s="341" t="s">
        <v>4202</v>
      </c>
      <c r="K1255" s="322">
        <f>I1255*F1255</f>
        <v>1360.8</v>
      </c>
      <c r="L1255" s="261"/>
      <c r="M1255" s="261"/>
    </row>
    <row r="1256" spans="5:13">
      <c r="E1256" s="261"/>
      <c r="F1256" s="322"/>
      <c r="G1256" s="323"/>
      <c r="H1256" s="327" t="s">
        <v>4203</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4204</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6068</v>
      </c>
      <c r="I1260" s="322"/>
      <c r="J1260" s="325"/>
      <c r="K1260" s="322"/>
      <c r="L1260" s="261"/>
      <c r="M1260" s="261"/>
    </row>
    <row r="1261" spans="5:13">
      <c r="E1261" s="261"/>
      <c r="F1261" s="322"/>
      <c r="G1261" s="323"/>
      <c r="H1261" s="327" t="s">
        <v>4205</v>
      </c>
      <c r="I1261" s="322"/>
      <c r="J1261" s="325"/>
      <c r="K1261" s="322">
        <v>1500</v>
      </c>
      <c r="L1261" s="261"/>
      <c r="M1261" s="261"/>
    </row>
    <row r="1262" spans="5:13">
      <c r="E1262" s="261"/>
      <c r="F1262" s="322"/>
      <c r="G1262" s="323"/>
      <c r="H1262" s="327" t="s">
        <v>4206</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4207</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157" t="s">
        <v>3916</v>
      </c>
      <c r="B21" s="1157"/>
      <c r="C21" s="1157"/>
      <c r="D21" s="50"/>
      <c r="E21" s="56"/>
      <c r="F21" s="50"/>
      <c r="G21" s="57"/>
    </row>
    <row r="22" spans="1:7" ht="16.5">
      <c r="A22" s="1157"/>
      <c r="B22" s="1157"/>
      <c r="C22" s="1157"/>
      <c r="D22" s="1159"/>
      <c r="E22" s="1159"/>
      <c r="F22" s="1159"/>
      <c r="G22" s="1159"/>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157" t="s">
        <v>3932</v>
      </c>
      <c r="C55" s="1157"/>
      <c r="D55" s="1157"/>
      <c r="E55" s="1157"/>
      <c r="F55" s="1157"/>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4090</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157" t="s">
        <v>3935</v>
      </c>
      <c r="C80" s="1157"/>
      <c r="D80" s="1157"/>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157" t="s">
        <v>3941</v>
      </c>
      <c r="B106" s="1157"/>
      <c r="C106" s="1157"/>
      <c r="D106" s="1157"/>
      <c r="E106" s="1157"/>
      <c r="F106" s="1157"/>
      <c r="G106" s="50"/>
    </row>
    <row r="107" spans="1:7" ht="16.5">
      <c r="A107" s="1157"/>
      <c r="B107" s="1157"/>
      <c r="C107" s="1157"/>
      <c r="D107" s="1157"/>
      <c r="E107" s="1157"/>
      <c r="F107" s="1157"/>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157" t="s">
        <v>3942</v>
      </c>
      <c r="C128" s="1157"/>
      <c r="D128" s="1157"/>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157" t="s">
        <v>3946</v>
      </c>
      <c r="B155" s="1157"/>
      <c r="C155" s="1157"/>
      <c r="D155" s="1157"/>
      <c r="E155" s="1157"/>
      <c r="F155" s="1157"/>
    </row>
    <row r="156" spans="1:7">
      <c r="A156" s="1157"/>
      <c r="B156" s="1157"/>
      <c r="C156" s="1157"/>
      <c r="D156" s="1157"/>
      <c r="E156" s="1157"/>
      <c r="F156" s="1157"/>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158"/>
      <c r="E178" s="1158"/>
      <c r="F178" s="1158"/>
    </row>
    <row r="179" spans="1:7">
      <c r="A179" s="7"/>
      <c r="C179" s="1"/>
    </row>
    <row r="180" spans="1:7">
      <c r="A180" s="25"/>
      <c r="B180" s="24" t="s">
        <v>2251</v>
      </c>
      <c r="C180" s="28" t="s">
        <v>4533</v>
      </c>
      <c r="D180" s="24"/>
      <c r="E180" s="25"/>
      <c r="F180" s="24"/>
      <c r="G180" s="5"/>
    </row>
    <row r="181" spans="1:7">
      <c r="A181" s="24"/>
      <c r="B181" s="24"/>
      <c r="C181" s="28" t="s">
        <v>4534</v>
      </c>
      <c r="D181" s="24"/>
      <c r="E181" s="25"/>
      <c r="F181" s="24"/>
      <c r="G181" s="5"/>
    </row>
    <row r="182" spans="1:7" ht="18">
      <c r="A182" s="24"/>
      <c r="B182" s="24"/>
      <c r="C182" s="40" t="s">
        <v>4535</v>
      </c>
      <c r="D182" s="24"/>
      <c r="E182" s="25"/>
      <c r="F182" s="24"/>
      <c r="G182" s="5"/>
    </row>
    <row r="183" spans="1:7">
      <c r="A183" s="24"/>
      <c r="B183" s="24"/>
      <c r="C183" s="29" t="s">
        <v>1586</v>
      </c>
      <c r="D183" s="24"/>
      <c r="E183" s="25"/>
      <c r="F183" s="24"/>
      <c r="G183" s="5"/>
    </row>
    <row r="184" spans="1:7">
      <c r="A184" s="24"/>
      <c r="B184" s="24"/>
      <c r="C184" s="116" t="s">
        <v>4536</v>
      </c>
      <c r="D184" s="26"/>
      <c r="E184" s="41"/>
      <c r="F184" s="24"/>
      <c r="G184" s="5"/>
    </row>
    <row r="185" spans="1:7">
      <c r="A185" s="24"/>
      <c r="B185" s="24"/>
      <c r="C185" s="28" t="s">
        <v>4537</v>
      </c>
      <c r="D185" s="26"/>
      <c r="E185" s="41"/>
      <c r="F185" s="24"/>
      <c r="G185" s="5"/>
    </row>
    <row r="186" spans="1:7">
      <c r="A186" s="24"/>
      <c r="B186" s="24"/>
      <c r="C186" s="28" t="s">
        <v>4538</v>
      </c>
      <c r="G186" s="5"/>
    </row>
    <row r="187" spans="1:7">
      <c r="A187" s="24"/>
      <c r="B187" s="24"/>
      <c r="C187" s="28" t="s">
        <v>4552</v>
      </c>
      <c r="D187" s="26" t="s">
        <v>2055</v>
      </c>
      <c r="E187" s="42">
        <f>2*2*3*0.15*0.15</f>
        <v>0.27</v>
      </c>
      <c r="F187" s="24" t="s">
        <v>2151</v>
      </c>
      <c r="G187" s="5"/>
    </row>
    <row r="188" spans="1:7" ht="39" customHeight="1">
      <c r="A188" s="24"/>
      <c r="B188" s="24"/>
      <c r="C188" s="28" t="s">
        <v>4539</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4553</v>
      </c>
      <c r="D191" s="24"/>
      <c r="E191" s="35"/>
      <c r="F191" s="34"/>
      <c r="G191" s="5"/>
    </row>
    <row r="192" spans="1:7" ht="27.75" customHeight="1">
      <c r="A192" s="24"/>
      <c r="B192" s="24"/>
      <c r="C192" s="28" t="s">
        <v>4540</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4541</v>
      </c>
      <c r="D194" s="7">
        <f>3*1*1.8*0.15*0.05</f>
        <v>4.0500000000000001E-2</v>
      </c>
      <c r="E194" s="24">
        <v>106376</v>
      </c>
      <c r="F194" s="25" t="s">
        <v>869</v>
      </c>
      <c r="G194" s="24">
        <f>E194*A194</f>
        <v>12850.22</v>
      </c>
    </row>
    <row r="195" spans="1:8" ht="39" customHeight="1">
      <c r="A195" s="33"/>
      <c r="B195" s="24"/>
      <c r="C195" s="24" t="s">
        <v>4542</v>
      </c>
      <c r="D195" s="33">
        <f>6*1*0.1*0.05*2.15</f>
        <v>6.4500000000000002E-2</v>
      </c>
      <c r="E195" s="25"/>
      <c r="F195" s="24"/>
      <c r="G195" s="5"/>
    </row>
    <row r="196" spans="1:8" ht="39" customHeight="1">
      <c r="A196" s="33"/>
      <c r="B196" s="24"/>
      <c r="C196" s="24" t="s">
        <v>4543</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4555</v>
      </c>
      <c r="D198" s="6">
        <f>8*1*0.815*0.35*0.01875</f>
        <v>4.2790000000000002E-2</v>
      </c>
      <c r="E198" s="24">
        <v>101921</v>
      </c>
      <c r="F198" s="25" t="s">
        <v>869</v>
      </c>
      <c r="G198" s="24">
        <f>E198*A198</f>
        <v>4685.3100000000004</v>
      </c>
      <c r="H198" s="5"/>
    </row>
    <row r="199" spans="1:8" ht="30.75">
      <c r="A199" s="32">
        <f>D199</f>
        <v>3.98</v>
      </c>
      <c r="B199" s="24" t="s">
        <v>869</v>
      </c>
      <c r="C199" s="31" t="s">
        <v>4554</v>
      </c>
      <c r="D199">
        <f>1.85*2.15</f>
        <v>3.98</v>
      </c>
      <c r="E199" s="24">
        <f>Data!AE30</f>
        <v>1537</v>
      </c>
      <c r="F199" s="25" t="s">
        <v>2283</v>
      </c>
      <c r="G199" s="24">
        <f>E199*A199</f>
        <v>6117.26</v>
      </c>
      <c r="H199" s="5"/>
    </row>
    <row r="200" spans="1:8">
      <c r="A200" s="32">
        <f>D200</f>
        <v>17.399999999999999</v>
      </c>
      <c r="B200" s="24" t="s">
        <v>1771</v>
      </c>
      <c r="C200" s="31" t="s">
        <v>4556</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4557</v>
      </c>
      <c r="E202" s="24"/>
      <c r="F202" s="25"/>
      <c r="G202" s="24"/>
      <c r="H202" s="5"/>
    </row>
    <row r="203" spans="1:8" ht="37.5" customHeight="1">
      <c r="A203" s="33">
        <f>D205</f>
        <v>1.26</v>
      </c>
      <c r="B203" s="24" t="s">
        <v>609</v>
      </c>
      <c r="C203" s="31" t="s">
        <v>4560</v>
      </c>
      <c r="D203">
        <f>2*1*0.35*1.4</f>
        <v>0.98</v>
      </c>
      <c r="E203" s="24">
        <v>336</v>
      </c>
      <c r="F203" s="25" t="s">
        <v>609</v>
      </c>
      <c r="G203" s="24">
        <f>E203*A203</f>
        <v>423.36</v>
      </c>
      <c r="H203" s="5"/>
    </row>
    <row r="204" spans="1:8" ht="37.5" customHeight="1">
      <c r="A204" s="33"/>
      <c r="B204" s="24"/>
      <c r="C204" s="31" t="s">
        <v>4558</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4561</v>
      </c>
      <c r="D206">
        <v>9.8000000000000007</v>
      </c>
      <c r="E206" s="24">
        <v>59</v>
      </c>
      <c r="F206" s="25" t="s">
        <v>826</v>
      </c>
      <c r="G206" s="24">
        <f t="shared" ref="G206:G214" si="9">E206*A206</f>
        <v>578.20000000000005</v>
      </c>
      <c r="H206" s="5"/>
    </row>
    <row r="207" spans="1:8" ht="47.25">
      <c r="A207" s="33">
        <f>D207</f>
        <v>1.51</v>
      </c>
      <c r="B207" s="24" t="s">
        <v>609</v>
      </c>
      <c r="C207" s="118" t="s">
        <v>4544</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4545</v>
      </c>
      <c r="E209" s="24">
        <f>Data!P2645</f>
        <v>214.1</v>
      </c>
      <c r="F209" s="25" t="s">
        <v>868</v>
      </c>
      <c r="G209" s="24">
        <f t="shared" si="9"/>
        <v>1712.8</v>
      </c>
      <c r="H209" s="5"/>
    </row>
    <row r="210" spans="1:8">
      <c r="A210" s="24">
        <v>3</v>
      </c>
      <c r="B210" s="24" t="s">
        <v>868</v>
      </c>
      <c r="C210" s="28" t="s">
        <v>4546</v>
      </c>
      <c r="E210" s="24">
        <f>Data!P2646</f>
        <v>408</v>
      </c>
      <c r="F210" s="25" t="s">
        <v>868</v>
      </c>
      <c r="G210" s="24">
        <f t="shared" si="9"/>
        <v>1224</v>
      </c>
      <c r="H210" s="5"/>
    </row>
    <row r="211" spans="1:8">
      <c r="A211" s="24">
        <v>1</v>
      </c>
      <c r="B211" s="24" t="s">
        <v>868</v>
      </c>
      <c r="C211" s="28" t="s">
        <v>4547</v>
      </c>
      <c r="E211" s="114">
        <v>320</v>
      </c>
      <c r="F211" s="25" t="s">
        <v>868</v>
      </c>
      <c r="G211" s="24">
        <f t="shared" si="9"/>
        <v>320</v>
      </c>
      <c r="H211" s="5"/>
    </row>
    <row r="212" spans="1:8">
      <c r="A212" s="24">
        <v>2</v>
      </c>
      <c r="B212" s="24" t="s">
        <v>868</v>
      </c>
      <c r="C212" s="28" t="s">
        <v>4548</v>
      </c>
      <c r="E212" s="24">
        <v>650</v>
      </c>
      <c r="F212" s="25" t="s">
        <v>868</v>
      </c>
      <c r="G212" s="24">
        <f t="shared" si="9"/>
        <v>1300</v>
      </c>
      <c r="H212" s="5"/>
    </row>
    <row r="213" spans="1:8">
      <c r="A213" s="24">
        <v>2</v>
      </c>
      <c r="B213" s="24" t="s">
        <v>868</v>
      </c>
      <c r="C213" s="28" t="s">
        <v>4549</v>
      </c>
      <c r="E213" s="24">
        <v>200</v>
      </c>
      <c r="F213" s="25" t="s">
        <v>868</v>
      </c>
      <c r="G213" s="24">
        <f t="shared" si="9"/>
        <v>400</v>
      </c>
      <c r="H213" s="5"/>
    </row>
    <row r="214" spans="1:8">
      <c r="A214" s="24">
        <v>2</v>
      </c>
      <c r="B214" s="24" t="s">
        <v>868</v>
      </c>
      <c r="C214" s="28" t="s">
        <v>4550</v>
      </c>
      <c r="E214" s="24">
        <v>60</v>
      </c>
      <c r="F214" s="25" t="s">
        <v>868</v>
      </c>
      <c r="G214" s="24">
        <f t="shared" si="9"/>
        <v>120</v>
      </c>
      <c r="H214" s="5"/>
    </row>
    <row r="215" spans="1:8" hidden="1">
      <c r="A215" s="24"/>
      <c r="B215" s="24"/>
      <c r="C215" s="24" t="s">
        <v>4551</v>
      </c>
      <c r="E215" s="25" t="s">
        <v>657</v>
      </c>
      <c r="F215" s="25"/>
      <c r="G215" s="44">
        <v>400</v>
      </c>
      <c r="H215" s="5"/>
    </row>
    <row r="216" spans="1:8">
      <c r="A216" s="24"/>
      <c r="B216" s="24"/>
      <c r="C216" s="24" t="s">
        <v>4559</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157" t="s">
        <v>4106</v>
      </c>
      <c r="B247" s="1157"/>
      <c r="C247" s="1157"/>
      <c r="D247" s="1157"/>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4107</v>
      </c>
      <c r="D250" s="50">
        <v>292</v>
      </c>
      <c r="E250" s="50" t="s">
        <v>913</v>
      </c>
      <c r="F250" s="50">
        <f>D250*A250</f>
        <v>8319.08</v>
      </c>
      <c r="G250" s="50"/>
    </row>
    <row r="251" spans="1:8" ht="16.5">
      <c r="A251" s="87">
        <v>3.82</v>
      </c>
      <c r="B251" s="50" t="s">
        <v>826</v>
      </c>
      <c r="C251" s="59" t="s">
        <v>4040</v>
      </c>
      <c r="D251" s="50">
        <v>36.299999999999997</v>
      </c>
      <c r="E251" s="50" t="s">
        <v>826</v>
      </c>
      <c r="F251" s="50">
        <v>501.66</v>
      </c>
      <c r="G251" s="50"/>
    </row>
    <row r="252" spans="1:8" ht="16.5">
      <c r="A252" s="58">
        <v>1.52</v>
      </c>
      <c r="B252" s="50" t="s">
        <v>233</v>
      </c>
      <c r="C252" s="59" t="s">
        <v>4038</v>
      </c>
      <c r="D252" s="50">
        <v>387.2</v>
      </c>
      <c r="E252" s="50" t="s">
        <v>233</v>
      </c>
      <c r="F252" s="50">
        <f t="shared" ref="F252:F261" si="10">D252*A252</f>
        <v>588.54</v>
      </c>
      <c r="G252" s="50"/>
    </row>
    <row r="253" spans="1:8" ht="16.5">
      <c r="A253" s="58">
        <v>1.52</v>
      </c>
      <c r="B253" s="50" t="s">
        <v>233</v>
      </c>
      <c r="C253" s="59" t="s">
        <v>4039</v>
      </c>
      <c r="D253" s="50">
        <v>695</v>
      </c>
      <c r="E253" s="50" t="s">
        <v>769</v>
      </c>
      <c r="F253" s="50">
        <f t="shared" si="10"/>
        <v>1056.4000000000001</v>
      </c>
      <c r="G253" s="50"/>
    </row>
    <row r="254" spans="1:8" ht="16.5">
      <c r="A254" s="58">
        <v>3</v>
      </c>
      <c r="B254" s="50" t="s">
        <v>222</v>
      </c>
      <c r="C254" s="59" t="s">
        <v>4041</v>
      </c>
      <c r="D254" s="50">
        <v>9</v>
      </c>
      <c r="E254" s="50" t="s">
        <v>222</v>
      </c>
      <c r="F254" s="50">
        <f t="shared" si="10"/>
        <v>27</v>
      </c>
      <c r="G254" s="50"/>
      <c r="H254" s="85"/>
    </row>
    <row r="255" spans="1:8" ht="16.5">
      <c r="A255" s="58">
        <v>4.2</v>
      </c>
      <c r="B255" s="50" t="s">
        <v>1398</v>
      </c>
      <c r="C255" s="59" t="s">
        <v>4108</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4109</v>
      </c>
      <c r="D257" s="11">
        <v>44.4</v>
      </c>
      <c r="E257" s="10" t="s">
        <v>1398</v>
      </c>
      <c r="F257" s="11">
        <f t="shared" si="10"/>
        <v>44.4</v>
      </c>
      <c r="G257" s="50"/>
      <c r="H257" s="85"/>
    </row>
    <row r="258" spans="1:8" ht="16.5">
      <c r="A258" s="11">
        <v>1</v>
      </c>
      <c r="B258" s="11" t="s">
        <v>1873</v>
      </c>
      <c r="C258" s="11" t="s">
        <v>4110</v>
      </c>
      <c r="D258" s="11">
        <v>867.3</v>
      </c>
      <c r="E258" s="10" t="s">
        <v>1398</v>
      </c>
      <c r="F258" s="11">
        <f t="shared" si="10"/>
        <v>867.3</v>
      </c>
      <c r="G258" s="50"/>
      <c r="H258" s="85"/>
    </row>
    <row r="259" spans="1:8" ht="18">
      <c r="A259" s="38">
        <v>45</v>
      </c>
      <c r="B259" s="38" t="s">
        <v>1873</v>
      </c>
      <c r="C259" s="38" t="s">
        <v>4111</v>
      </c>
      <c r="D259" s="38">
        <v>1.65</v>
      </c>
      <c r="E259" s="49" t="s">
        <v>1394</v>
      </c>
      <c r="F259" s="50">
        <f t="shared" si="10"/>
        <v>74.25</v>
      </c>
      <c r="G259" s="50"/>
      <c r="H259" s="85"/>
    </row>
    <row r="260" spans="1:8" ht="18">
      <c r="A260" s="38">
        <v>2</v>
      </c>
      <c r="B260" s="38" t="s">
        <v>1873</v>
      </c>
      <c r="C260" s="38" t="s">
        <v>4112</v>
      </c>
      <c r="D260" s="38">
        <v>76.2</v>
      </c>
      <c r="E260" s="10" t="s">
        <v>1398</v>
      </c>
      <c r="F260" s="50">
        <f t="shared" si="10"/>
        <v>152.4</v>
      </c>
      <c r="G260" s="50"/>
      <c r="H260" s="85"/>
    </row>
    <row r="261" spans="1:8" ht="18">
      <c r="A261" s="38">
        <v>2</v>
      </c>
      <c r="B261" s="38" t="s">
        <v>1873</v>
      </c>
      <c r="C261" s="38" t="s">
        <v>4113</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4114</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4115</v>
      </c>
      <c r="D276" s="85"/>
      <c r="E276" s="85"/>
      <c r="F276" s="85"/>
      <c r="H276" s="85"/>
    </row>
    <row r="277" spans="1:8" ht="16.5">
      <c r="A277" s="1157" t="s">
        <v>4118</v>
      </c>
      <c r="B277" s="1157"/>
      <c r="C277" s="1157"/>
      <c r="D277" s="1157"/>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4116</v>
      </c>
      <c r="D280" s="50">
        <v>321</v>
      </c>
      <c r="E280" s="50" t="s">
        <v>913</v>
      </c>
      <c r="F280" s="50">
        <f>D280*A280</f>
        <v>9328.26</v>
      </c>
    </row>
    <row r="281" spans="1:8" ht="16.5">
      <c r="A281" s="87">
        <v>9.24</v>
      </c>
      <c r="B281" s="50" t="s">
        <v>826</v>
      </c>
      <c r="C281" s="59" t="s">
        <v>4040</v>
      </c>
      <c r="D281" s="50">
        <v>38.799999999999997</v>
      </c>
      <c r="E281" s="50" t="s">
        <v>826</v>
      </c>
      <c r="F281" s="50">
        <f t="shared" ref="F281:F291" si="11">D281*A281</f>
        <v>358.51</v>
      </c>
    </row>
    <row r="282" spans="1:8" ht="16.5">
      <c r="A282" s="58">
        <v>1.49</v>
      </c>
      <c r="B282" s="50" t="s">
        <v>233</v>
      </c>
      <c r="C282" s="59" t="s">
        <v>4038</v>
      </c>
      <c r="D282" s="50">
        <v>394</v>
      </c>
      <c r="E282" s="50" t="s">
        <v>233</v>
      </c>
      <c r="F282" s="50">
        <f t="shared" si="11"/>
        <v>587.05999999999995</v>
      </c>
    </row>
    <row r="283" spans="1:8" ht="16.5">
      <c r="A283" s="58">
        <v>0.75</v>
      </c>
      <c r="B283" s="50" t="s">
        <v>233</v>
      </c>
      <c r="C283" s="59" t="s">
        <v>4039</v>
      </c>
      <c r="D283" s="50">
        <v>695</v>
      </c>
      <c r="E283" s="50" t="s">
        <v>769</v>
      </c>
      <c r="F283" s="50">
        <f t="shared" si="11"/>
        <v>521.25</v>
      </c>
    </row>
    <row r="284" spans="1:8" ht="16.5">
      <c r="A284" s="58">
        <v>2</v>
      </c>
      <c r="B284" s="50" t="s">
        <v>222</v>
      </c>
      <c r="C284" s="59" t="s">
        <v>4041</v>
      </c>
      <c r="D284" s="50">
        <v>9</v>
      </c>
      <c r="E284" s="50" t="s">
        <v>222</v>
      </c>
      <c r="F284" s="50">
        <f t="shared" si="11"/>
        <v>18</v>
      </c>
    </row>
    <row r="285" spans="1:8" ht="16.5">
      <c r="A285" s="58">
        <v>7.08</v>
      </c>
      <c r="B285" s="50" t="s">
        <v>1398</v>
      </c>
      <c r="C285" s="59" t="s">
        <v>4108</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4109</v>
      </c>
      <c r="D287" s="11">
        <v>48.9</v>
      </c>
      <c r="E287" s="10" t="s">
        <v>1398</v>
      </c>
      <c r="F287" s="50">
        <f t="shared" si="11"/>
        <v>48.9</v>
      </c>
    </row>
    <row r="288" spans="1:8" ht="16.5">
      <c r="A288" s="11">
        <v>1</v>
      </c>
      <c r="B288" s="11" t="s">
        <v>1873</v>
      </c>
      <c r="C288" s="11" t="s">
        <v>4110</v>
      </c>
      <c r="D288" s="11">
        <v>884</v>
      </c>
      <c r="E288" s="10" t="s">
        <v>1398</v>
      </c>
      <c r="F288" s="50">
        <f t="shared" si="11"/>
        <v>884</v>
      </c>
    </row>
    <row r="289" spans="1:7" ht="18">
      <c r="A289" s="38">
        <v>6</v>
      </c>
      <c r="B289" s="38" t="s">
        <v>1873</v>
      </c>
      <c r="C289" s="38" t="s">
        <v>4117</v>
      </c>
      <c r="D289" s="38">
        <f>D260</f>
        <v>76.2</v>
      </c>
      <c r="E289" s="49" t="s">
        <v>1394</v>
      </c>
      <c r="F289" s="50">
        <f t="shared" si="11"/>
        <v>457.2</v>
      </c>
    </row>
    <row r="290" spans="1:7" ht="18">
      <c r="A290" s="38">
        <v>2</v>
      </c>
      <c r="B290" s="38" t="s">
        <v>1873</v>
      </c>
      <c r="C290" s="38" t="s">
        <v>4112</v>
      </c>
      <c r="D290" s="38">
        <v>108.7</v>
      </c>
      <c r="E290" s="10" t="s">
        <v>1398</v>
      </c>
      <c r="F290" s="50">
        <f t="shared" si="11"/>
        <v>217.4</v>
      </c>
    </row>
    <row r="291" spans="1:7" ht="18">
      <c r="A291" s="38">
        <v>2</v>
      </c>
      <c r="B291" s="38" t="s">
        <v>1873</v>
      </c>
      <c r="C291" s="38" t="s">
        <v>4113</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4208</v>
      </c>
      <c r="D297" s="95"/>
      <c r="E297" s="97"/>
      <c r="F297" s="95"/>
      <c r="G297" s="98"/>
    </row>
    <row r="298" spans="1:7" ht="18.75">
      <c r="A298" s="94">
        <v>3.488</v>
      </c>
      <c r="B298" s="95" t="s">
        <v>913</v>
      </c>
      <c r="C298" s="97" t="s">
        <v>4209</v>
      </c>
      <c r="D298" s="95">
        <f>D132</f>
        <v>325</v>
      </c>
      <c r="E298" s="95" t="s">
        <v>913</v>
      </c>
      <c r="F298" s="95">
        <f t="shared" ref="F298:F307" si="12">D298*A298</f>
        <v>1133.5999999999999</v>
      </c>
      <c r="G298" s="98"/>
    </row>
    <row r="299" spans="1:7" ht="18.75">
      <c r="A299" s="94">
        <v>4.38</v>
      </c>
      <c r="B299" s="95" t="s">
        <v>913</v>
      </c>
      <c r="C299" s="97" t="s">
        <v>4210</v>
      </c>
      <c r="D299" s="95">
        <f>D133</f>
        <v>325</v>
      </c>
      <c r="E299" s="95" t="s">
        <v>913</v>
      </c>
      <c r="F299" s="95">
        <f t="shared" si="12"/>
        <v>1423.5</v>
      </c>
      <c r="G299" s="98"/>
    </row>
    <row r="300" spans="1:7" ht="18.75">
      <c r="A300" s="94">
        <v>1.18</v>
      </c>
      <c r="B300" s="95" t="s">
        <v>913</v>
      </c>
      <c r="C300" s="97" t="s">
        <v>4211</v>
      </c>
      <c r="D300" s="95">
        <f>D134</f>
        <v>325</v>
      </c>
      <c r="E300" s="95" t="s">
        <v>913</v>
      </c>
      <c r="F300" s="95">
        <f t="shared" si="12"/>
        <v>383.5</v>
      </c>
      <c r="G300" s="98"/>
    </row>
    <row r="301" spans="1:7" ht="18.75">
      <c r="A301" s="94">
        <v>0.82</v>
      </c>
      <c r="B301" s="95" t="s">
        <v>913</v>
      </c>
      <c r="C301" s="97" t="s">
        <v>4212</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4213</v>
      </c>
      <c r="D304" s="95">
        <f t="shared" si="13"/>
        <v>350</v>
      </c>
      <c r="E304" s="95" t="s">
        <v>4214</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160" t="s">
        <v>4395</v>
      </c>
      <c r="B315" s="1160"/>
      <c r="C315" s="1160"/>
      <c r="D315" s="1160"/>
      <c r="E315" s="1160"/>
      <c r="F315" s="1160"/>
      <c r="G315" s="1160"/>
      <c r="H315" s="1160"/>
    </row>
    <row r="316" spans="1:8">
      <c r="A316" s="1160" t="s">
        <v>4396</v>
      </c>
      <c r="B316" s="1160"/>
      <c r="C316" s="1160"/>
      <c r="D316" s="1160"/>
      <c r="E316" s="1160"/>
      <c r="F316" s="1160"/>
      <c r="G316" s="1160"/>
      <c r="H316" s="1160"/>
    </row>
    <row r="317" spans="1:8">
      <c r="A317" s="85"/>
      <c r="B317" s="85" t="s">
        <v>4397</v>
      </c>
      <c r="C317" s="85" t="s">
        <v>4398</v>
      </c>
      <c r="D317" s="85"/>
      <c r="E317" s="85"/>
      <c r="F317" s="85"/>
      <c r="G317" s="85"/>
      <c r="H317" s="85"/>
    </row>
    <row r="318" spans="1:8">
      <c r="A318" s="85"/>
      <c r="B318" s="85"/>
      <c r="C318" s="85" t="s">
        <v>4399</v>
      </c>
      <c r="D318" s="85" t="s">
        <v>2055</v>
      </c>
      <c r="E318" s="85" t="s">
        <v>4400</v>
      </c>
      <c r="F318" s="85" t="s">
        <v>2055</v>
      </c>
      <c r="G318" s="20">
        <f>1*1.2*1.558</f>
        <v>1.87</v>
      </c>
      <c r="H318" s="85" t="s">
        <v>1645</v>
      </c>
    </row>
    <row r="319" spans="1:8">
      <c r="A319" s="85"/>
      <c r="B319" s="85" t="s">
        <v>4401</v>
      </c>
      <c r="C319" s="85" t="s">
        <v>4402</v>
      </c>
      <c r="D319" s="85"/>
      <c r="E319" s="85"/>
      <c r="F319" s="85"/>
      <c r="G319" s="85"/>
      <c r="H319" s="85"/>
    </row>
    <row r="320" spans="1:8">
      <c r="A320" s="85"/>
      <c r="B320" s="85"/>
      <c r="C320" s="85" t="s">
        <v>4403</v>
      </c>
      <c r="D320" s="85" t="s">
        <v>2055</v>
      </c>
      <c r="E320" s="85" t="s">
        <v>4404</v>
      </c>
      <c r="F320" s="85" t="s">
        <v>2055</v>
      </c>
      <c r="G320" s="20">
        <f>1*2*1.35*0.695</f>
        <v>1.88</v>
      </c>
      <c r="H320" s="85" t="s">
        <v>1645</v>
      </c>
    </row>
    <row r="321" spans="1:8">
      <c r="A321" s="85"/>
      <c r="B321" s="85" t="s">
        <v>4405</v>
      </c>
      <c r="C321" s="85" t="s">
        <v>4406</v>
      </c>
      <c r="D321" s="85"/>
      <c r="E321" s="85"/>
      <c r="F321" s="85"/>
      <c r="G321" s="20"/>
      <c r="H321" s="85"/>
    </row>
    <row r="322" spans="1:8">
      <c r="A322" s="85"/>
      <c r="B322" s="85"/>
      <c r="C322" s="85" t="s">
        <v>4407</v>
      </c>
      <c r="D322" s="85" t="s">
        <v>2055</v>
      </c>
      <c r="E322" s="85" t="s">
        <v>4408</v>
      </c>
      <c r="F322" s="85" t="s">
        <v>2055</v>
      </c>
      <c r="G322" s="20">
        <f>1*1*1.2*1.088</f>
        <v>1.31</v>
      </c>
      <c r="H322" s="85" t="s">
        <v>1645</v>
      </c>
    </row>
    <row r="323" spans="1:8">
      <c r="A323" s="85"/>
      <c r="B323" s="85" t="s">
        <v>4409</v>
      </c>
      <c r="C323" s="85" t="s">
        <v>4410</v>
      </c>
      <c r="D323" s="85"/>
      <c r="E323" s="85"/>
      <c r="F323" s="85"/>
      <c r="G323" s="20"/>
      <c r="H323" s="85"/>
    </row>
    <row r="324" spans="1:8">
      <c r="A324" s="85"/>
      <c r="B324" s="85"/>
      <c r="C324" s="85" t="s">
        <v>4411</v>
      </c>
      <c r="D324" s="85" t="s">
        <v>2055</v>
      </c>
      <c r="E324" s="85" t="s">
        <v>4412</v>
      </c>
      <c r="F324" s="85" t="s">
        <v>2055</v>
      </c>
      <c r="G324" s="20">
        <f>1*2*1.25*0.605</f>
        <v>1.51</v>
      </c>
      <c r="H324" s="85" t="s">
        <v>1645</v>
      </c>
    </row>
    <row r="325" spans="1:8">
      <c r="A325" s="85"/>
      <c r="B325" s="85" t="s">
        <v>4413</v>
      </c>
      <c r="C325" s="85" t="s">
        <v>4414</v>
      </c>
      <c r="D325" s="85"/>
      <c r="E325" s="85"/>
      <c r="F325" s="85"/>
      <c r="G325" s="20"/>
      <c r="H325" s="85"/>
    </row>
    <row r="326" spans="1:8">
      <c r="A326" s="85"/>
      <c r="B326" s="85"/>
      <c r="C326" s="85" t="s">
        <v>4415</v>
      </c>
      <c r="D326" s="85" t="s">
        <v>2055</v>
      </c>
      <c r="E326" s="85" t="s">
        <v>4416</v>
      </c>
      <c r="F326" s="85" t="s">
        <v>2055</v>
      </c>
      <c r="G326" s="20">
        <f>1*2*1.25*0.488</f>
        <v>1.22</v>
      </c>
      <c r="H326" s="85" t="s">
        <v>1645</v>
      </c>
    </row>
    <row r="327" spans="1:8">
      <c r="A327" s="85"/>
      <c r="B327" s="85" t="s">
        <v>4413</v>
      </c>
      <c r="C327" s="85" t="s">
        <v>4417</v>
      </c>
      <c r="D327" s="85"/>
      <c r="E327" s="85"/>
      <c r="F327" s="85"/>
      <c r="G327" s="20"/>
      <c r="H327" s="85"/>
    </row>
    <row r="328" spans="1:8">
      <c r="A328" s="85"/>
      <c r="B328" s="85"/>
      <c r="C328" s="85" t="s">
        <v>4418</v>
      </c>
      <c r="D328" s="85" t="s">
        <v>2055</v>
      </c>
      <c r="E328" s="85" t="s">
        <v>4419</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4420</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4421</v>
      </c>
      <c r="C333" s="85" t="s">
        <v>4422</v>
      </c>
      <c r="D333" s="85"/>
      <c r="E333" s="85"/>
      <c r="F333" s="85"/>
      <c r="G333" s="85"/>
      <c r="H333" s="85"/>
    </row>
    <row r="334" spans="1:8" ht="17.25">
      <c r="A334" s="85"/>
      <c r="B334" s="85"/>
      <c r="C334" s="85" t="s">
        <v>4423</v>
      </c>
      <c r="D334" s="85" t="s">
        <v>2055</v>
      </c>
      <c r="E334" s="85" t="s">
        <v>4424</v>
      </c>
      <c r="F334" s="85" t="s">
        <v>2055</v>
      </c>
      <c r="G334" s="85">
        <f>1*2*0.55*1.25</f>
        <v>1.375</v>
      </c>
      <c r="H334" s="85" t="s">
        <v>4425</v>
      </c>
    </row>
    <row r="335" spans="1:8">
      <c r="A335" s="85"/>
      <c r="B335" s="85"/>
      <c r="C335" s="85"/>
      <c r="D335" s="85"/>
      <c r="E335" s="85"/>
      <c r="F335" s="85"/>
      <c r="G335" s="85"/>
      <c r="H335" s="85"/>
    </row>
    <row r="336" spans="1:8">
      <c r="A336" s="85"/>
      <c r="B336" s="106" t="s">
        <v>4426</v>
      </c>
      <c r="C336" s="85" t="s">
        <v>3917</v>
      </c>
      <c r="D336" s="85" t="s">
        <v>2055</v>
      </c>
      <c r="E336" s="85" t="s">
        <v>4427</v>
      </c>
      <c r="F336" s="85" t="s">
        <v>2055</v>
      </c>
      <c r="G336" s="85">
        <f>1*2*2*3.6</f>
        <v>14.4</v>
      </c>
      <c r="H336" s="85" t="s">
        <v>826</v>
      </c>
    </row>
    <row r="337" spans="1:8">
      <c r="A337" s="85"/>
      <c r="B337" s="85"/>
      <c r="C337" s="85"/>
      <c r="D337" s="85"/>
      <c r="E337" s="85"/>
      <c r="F337" s="85"/>
      <c r="G337" s="85"/>
      <c r="H337" s="85"/>
    </row>
    <row r="338" spans="1:8" ht="17.25">
      <c r="A338" s="85"/>
      <c r="B338" s="106" t="s">
        <v>4428</v>
      </c>
      <c r="C338" s="85" t="s">
        <v>4429</v>
      </c>
      <c r="D338" s="85" t="s">
        <v>2055</v>
      </c>
      <c r="E338" s="85" t="s">
        <v>4430</v>
      </c>
      <c r="F338" s="85" t="s">
        <v>2055</v>
      </c>
      <c r="G338" s="85">
        <f>1.2*1.35</f>
        <v>1.62</v>
      </c>
      <c r="H338" s="85" t="s">
        <v>4425</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4431</v>
      </c>
      <c r="E342">
        <v>287</v>
      </c>
      <c r="F342" t="s">
        <v>913</v>
      </c>
      <c r="G342">
        <f t="shared" ref="G342:G347" si="14">E342*A342</f>
        <v>2706.41</v>
      </c>
      <c r="H342" s="85"/>
    </row>
    <row r="343" spans="1:8">
      <c r="A343" s="7">
        <f>G334</f>
        <v>1.375</v>
      </c>
      <c r="B343" t="s">
        <v>233</v>
      </c>
      <c r="C343" s="1" t="s">
        <v>4432</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4433</v>
      </c>
      <c r="E345">
        <v>59.4</v>
      </c>
      <c r="F345" t="s">
        <v>769</v>
      </c>
      <c r="G345">
        <f t="shared" si="14"/>
        <v>59.4</v>
      </c>
      <c r="H345" s="85"/>
    </row>
    <row r="346" spans="1:8">
      <c r="A346" s="7">
        <v>1</v>
      </c>
      <c r="B346" t="s">
        <v>769</v>
      </c>
      <c r="C346" s="1" t="s">
        <v>4434</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4435</v>
      </c>
      <c r="G349">
        <f>SUM(G342:G348)</f>
        <v>5431.91</v>
      </c>
      <c r="H349" s="85"/>
    </row>
    <row r="350" spans="1:8">
      <c r="C350" s="107" t="s">
        <v>4436</v>
      </c>
      <c r="D350" s="91" t="s">
        <v>2055</v>
      </c>
      <c r="E350" s="91"/>
      <c r="F350" s="11"/>
      <c r="G350" s="89">
        <f>G349/A347</f>
        <v>3353.03</v>
      </c>
      <c r="H350" s="85"/>
    </row>
    <row r="351" spans="1:8">
      <c r="A351" s="85"/>
      <c r="B351" s="85"/>
      <c r="C351" s="85"/>
      <c r="D351" s="85"/>
      <c r="E351" s="85"/>
      <c r="F351" s="85"/>
      <c r="G351" s="85"/>
      <c r="H351" s="85"/>
    </row>
    <row r="352" spans="1:8">
      <c r="A352" s="85"/>
      <c r="B352" s="85"/>
      <c r="C352" s="88" t="s">
        <v>4437</v>
      </c>
      <c r="D352" s="85"/>
      <c r="E352" s="85"/>
      <c r="F352" s="85"/>
      <c r="G352" s="85"/>
      <c r="H352" s="85"/>
    </row>
    <row r="353" spans="1:8">
      <c r="A353">
        <v>1</v>
      </c>
      <c r="B353" t="s">
        <v>868</v>
      </c>
      <c r="C353" s="1" t="s">
        <v>4438</v>
      </c>
      <c r="E353">
        <v>501</v>
      </c>
      <c r="F353" s="1" t="s">
        <v>868</v>
      </c>
      <c r="G353" s="85">
        <f>E353*A353</f>
        <v>501</v>
      </c>
      <c r="H353" s="85"/>
    </row>
    <row r="354" spans="1:8">
      <c r="A354">
        <v>1</v>
      </c>
      <c r="B354" t="s">
        <v>868</v>
      </c>
      <c r="C354" s="1" t="s">
        <v>4439</v>
      </c>
      <c r="E354">
        <v>355</v>
      </c>
      <c r="F354" s="1" t="s">
        <v>868</v>
      </c>
      <c r="G354" s="85">
        <f>E354*A354</f>
        <v>355</v>
      </c>
      <c r="H354" s="85"/>
    </row>
    <row r="355" spans="1:8">
      <c r="A355">
        <v>0.5</v>
      </c>
      <c r="B355" t="s">
        <v>868</v>
      </c>
      <c r="C355" s="1" t="s">
        <v>4440</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160" t="s">
        <v>4441</v>
      </c>
      <c r="B361" s="1160"/>
      <c r="C361" s="1160"/>
      <c r="D361" s="1160"/>
      <c r="E361" s="1160"/>
      <c r="F361" s="1160"/>
      <c r="G361" s="1160"/>
      <c r="H361" s="1160"/>
    </row>
    <row r="362" spans="1:8">
      <c r="A362" s="85"/>
      <c r="B362" s="85" t="s">
        <v>4397</v>
      </c>
      <c r="C362" s="85" t="s">
        <v>4398</v>
      </c>
      <c r="D362" s="85"/>
      <c r="E362" s="85"/>
      <c r="F362" s="85"/>
      <c r="G362" s="85"/>
      <c r="H362" s="85"/>
    </row>
    <row r="363" spans="1:8">
      <c r="A363" s="85"/>
      <c r="B363" s="85"/>
      <c r="C363" s="85" t="s">
        <v>4399</v>
      </c>
      <c r="D363" s="85" t="s">
        <v>2055</v>
      </c>
      <c r="E363" s="85" t="s">
        <v>4442</v>
      </c>
      <c r="F363" s="85" t="s">
        <v>2055</v>
      </c>
      <c r="G363" s="20">
        <f>1*2*2.4*1.558</f>
        <v>7.48</v>
      </c>
      <c r="H363" s="85" t="s">
        <v>1645</v>
      </c>
    </row>
    <row r="364" spans="1:8">
      <c r="A364" s="85"/>
      <c r="B364" s="85" t="s">
        <v>4401</v>
      </c>
      <c r="C364" s="85" t="s">
        <v>4402</v>
      </c>
      <c r="D364" s="85"/>
      <c r="E364" s="85"/>
      <c r="F364" s="85"/>
      <c r="G364" s="20"/>
      <c r="H364" s="85"/>
    </row>
    <row r="365" spans="1:8">
      <c r="A365" s="85"/>
      <c r="B365" s="85"/>
      <c r="C365" s="85" t="s">
        <v>4403</v>
      </c>
      <c r="D365" s="85" t="s">
        <v>2055</v>
      </c>
      <c r="E365" s="85" t="s">
        <v>4443</v>
      </c>
      <c r="F365" s="85" t="s">
        <v>2055</v>
      </c>
      <c r="G365" s="20">
        <f>1*4*1.05*0.695</f>
        <v>2.92</v>
      </c>
      <c r="H365" s="85" t="s">
        <v>1645</v>
      </c>
    </row>
    <row r="366" spans="1:8">
      <c r="A366" s="85"/>
      <c r="B366" s="85" t="s">
        <v>4405</v>
      </c>
      <c r="C366" s="85" t="s">
        <v>4406</v>
      </c>
      <c r="D366" s="85"/>
      <c r="E366" s="85"/>
      <c r="F366" s="85"/>
      <c r="G366" s="20"/>
      <c r="H366" s="85"/>
    </row>
    <row r="367" spans="1:8">
      <c r="A367" s="85"/>
      <c r="B367" s="85"/>
      <c r="C367" s="85" t="s">
        <v>4407</v>
      </c>
      <c r="D367" s="85" t="s">
        <v>2055</v>
      </c>
      <c r="E367" s="85" t="s">
        <v>4444</v>
      </c>
      <c r="F367" s="85" t="s">
        <v>2055</v>
      </c>
      <c r="G367" s="20">
        <f>1*1*2.4*1.088</f>
        <v>2.61</v>
      </c>
      <c r="H367" s="85" t="s">
        <v>1645</v>
      </c>
    </row>
    <row r="368" spans="1:8">
      <c r="A368" s="85"/>
      <c r="B368" s="85" t="s">
        <v>4409</v>
      </c>
      <c r="C368" s="85" t="s">
        <v>4410</v>
      </c>
      <c r="D368" s="85"/>
      <c r="E368" s="85"/>
      <c r="F368" s="85"/>
      <c r="G368" s="20"/>
      <c r="H368" s="85"/>
    </row>
    <row r="369" spans="1:8">
      <c r="A369" s="85"/>
      <c r="B369" s="85"/>
      <c r="C369" s="85" t="s">
        <v>4411</v>
      </c>
      <c r="D369" s="85" t="s">
        <v>2055</v>
      </c>
      <c r="E369" s="85" t="s">
        <v>4445</v>
      </c>
      <c r="F369" s="85" t="s">
        <v>2055</v>
      </c>
      <c r="G369" s="20">
        <f>1*4*0.95*0.605</f>
        <v>2.2999999999999998</v>
      </c>
      <c r="H369" s="85" t="s">
        <v>1645</v>
      </c>
    </row>
    <row r="370" spans="1:8">
      <c r="A370" s="85"/>
      <c r="B370" s="85" t="s">
        <v>4413</v>
      </c>
      <c r="C370" s="85" t="s">
        <v>4414</v>
      </c>
      <c r="D370" s="85"/>
      <c r="E370" s="85"/>
      <c r="F370" s="85"/>
      <c r="G370" s="20"/>
      <c r="H370" s="85"/>
    </row>
    <row r="371" spans="1:8">
      <c r="A371" s="85"/>
      <c r="B371" s="85"/>
      <c r="C371" s="85" t="s">
        <v>4415</v>
      </c>
      <c r="D371" s="85" t="s">
        <v>2055</v>
      </c>
      <c r="E371" s="85" t="s">
        <v>4446</v>
      </c>
      <c r="F371" s="85" t="s">
        <v>2055</v>
      </c>
      <c r="G371" s="20">
        <f>1*4*0.95*0.488</f>
        <v>1.85</v>
      </c>
      <c r="H371" s="85" t="s">
        <v>1645</v>
      </c>
    </row>
    <row r="372" spans="1:8">
      <c r="A372" s="85"/>
      <c r="B372" s="85" t="s">
        <v>4413</v>
      </c>
      <c r="C372" s="85" t="s">
        <v>4417</v>
      </c>
      <c r="D372" s="85"/>
      <c r="E372" s="85"/>
      <c r="F372" s="85"/>
      <c r="G372" s="20"/>
      <c r="H372" s="85"/>
    </row>
    <row r="373" spans="1:8">
      <c r="A373" s="85"/>
      <c r="B373" s="85"/>
      <c r="C373" s="85" t="s">
        <v>4418</v>
      </c>
      <c r="D373" s="85" t="s">
        <v>2055</v>
      </c>
      <c r="E373" s="85" t="s">
        <v>4447</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4420</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4421</v>
      </c>
      <c r="C378" s="85" t="s">
        <v>4422</v>
      </c>
      <c r="D378" s="85"/>
      <c r="E378" s="85"/>
      <c r="F378" s="85"/>
      <c r="G378" s="20"/>
      <c r="H378" s="85"/>
    </row>
    <row r="379" spans="1:8" ht="17.25">
      <c r="A379" s="85"/>
      <c r="B379" s="85"/>
      <c r="C379" s="85" t="s">
        <v>4423</v>
      </c>
      <c r="D379" s="85" t="s">
        <v>2055</v>
      </c>
      <c r="E379" s="85" t="s">
        <v>4448</v>
      </c>
      <c r="F379" s="85" t="s">
        <v>2055</v>
      </c>
      <c r="G379" s="109">
        <f>1*4*0.55*0.95</f>
        <v>2.09</v>
      </c>
      <c r="H379" s="85" t="s">
        <v>4425</v>
      </c>
    </row>
    <row r="380" spans="1:8">
      <c r="A380" s="85"/>
      <c r="B380" s="85"/>
      <c r="C380" s="85"/>
      <c r="D380" s="85"/>
      <c r="E380" s="85"/>
      <c r="F380" s="85"/>
      <c r="G380" s="20"/>
      <c r="H380" s="85"/>
    </row>
    <row r="381" spans="1:8">
      <c r="A381" s="85"/>
      <c r="B381" s="106" t="s">
        <v>4426</v>
      </c>
      <c r="C381" s="85" t="s">
        <v>3917</v>
      </c>
      <c r="D381" s="85" t="s">
        <v>2055</v>
      </c>
      <c r="E381" s="85" t="s">
        <v>4449</v>
      </c>
      <c r="F381" s="85" t="s">
        <v>2055</v>
      </c>
      <c r="G381" s="20">
        <f>1*2*4*3.3</f>
        <v>26.4</v>
      </c>
      <c r="H381" s="85" t="s">
        <v>826</v>
      </c>
    </row>
    <row r="382" spans="1:8">
      <c r="A382" s="85"/>
      <c r="B382" s="85"/>
      <c r="C382" s="85"/>
      <c r="D382" s="85"/>
      <c r="E382" s="85"/>
      <c r="F382" s="85"/>
      <c r="G382" s="20"/>
      <c r="H382" s="85"/>
    </row>
    <row r="383" spans="1:8" ht="17.25">
      <c r="A383" s="85"/>
      <c r="B383" s="106" t="s">
        <v>4428</v>
      </c>
      <c r="C383" s="85" t="s">
        <v>4429</v>
      </c>
      <c r="D383" s="85" t="s">
        <v>2055</v>
      </c>
      <c r="E383" s="85" t="s">
        <v>4450</v>
      </c>
      <c r="F383" s="85" t="s">
        <v>2055</v>
      </c>
      <c r="G383" s="20">
        <f>2.4*1.05</f>
        <v>2.52</v>
      </c>
      <c r="H383" s="85" t="s">
        <v>4425</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4431</v>
      </c>
      <c r="E387">
        <v>287</v>
      </c>
      <c r="F387" t="s">
        <v>913</v>
      </c>
      <c r="G387">
        <f t="shared" ref="G387:G392" si="15">E387*A387</f>
        <v>5909.33</v>
      </c>
      <c r="H387" s="85"/>
    </row>
    <row r="388" spans="1:8">
      <c r="A388" s="7">
        <v>2.09</v>
      </c>
      <c r="B388" t="s">
        <v>233</v>
      </c>
      <c r="C388" s="1" t="s">
        <v>4432</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4433</v>
      </c>
      <c r="E390">
        <v>59.4</v>
      </c>
      <c r="F390" t="s">
        <v>769</v>
      </c>
      <c r="G390">
        <f t="shared" si="15"/>
        <v>59.4</v>
      </c>
      <c r="H390" s="85"/>
    </row>
    <row r="391" spans="1:8">
      <c r="A391" s="7">
        <v>1</v>
      </c>
      <c r="B391" t="s">
        <v>769</v>
      </c>
      <c r="C391" s="1" t="s">
        <v>4434</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4436</v>
      </c>
      <c r="D395" s="91" t="s">
        <v>2055</v>
      </c>
      <c r="E395" s="91"/>
      <c r="F395" s="11"/>
      <c r="G395" s="89">
        <f>G394/A392</f>
        <v>4048</v>
      </c>
      <c r="H395" s="85"/>
    </row>
    <row r="396" spans="1:8">
      <c r="A396" s="85"/>
      <c r="B396" s="85"/>
      <c r="C396" s="85"/>
      <c r="D396" s="85"/>
      <c r="E396" s="85"/>
      <c r="F396" s="85"/>
      <c r="G396" s="85"/>
      <c r="H396" s="85"/>
    </row>
    <row r="397" spans="1:8">
      <c r="A397" s="85"/>
      <c r="B397" s="85"/>
      <c r="C397" s="88" t="s">
        <v>4437</v>
      </c>
      <c r="D397" s="85"/>
      <c r="E397" s="85"/>
      <c r="F397" s="85"/>
      <c r="G397" s="85"/>
      <c r="H397" s="85"/>
    </row>
    <row r="398" spans="1:8">
      <c r="A398">
        <v>1</v>
      </c>
      <c r="B398" t="s">
        <v>868</v>
      </c>
      <c r="C398" s="1" t="s">
        <v>4438</v>
      </c>
      <c r="E398">
        <v>501</v>
      </c>
      <c r="F398" s="1" t="s">
        <v>868</v>
      </c>
      <c r="G398" s="20">
        <f>E398*A398</f>
        <v>501</v>
      </c>
      <c r="H398" s="85"/>
    </row>
    <row r="399" spans="1:8">
      <c r="A399">
        <v>1</v>
      </c>
      <c r="B399" t="s">
        <v>868</v>
      </c>
      <c r="C399" s="1" t="s">
        <v>4439</v>
      </c>
      <c r="E399">
        <v>355</v>
      </c>
      <c r="F399" s="1" t="s">
        <v>868</v>
      </c>
      <c r="G399" s="20">
        <f>E399*A399</f>
        <v>355</v>
      </c>
      <c r="H399" s="85"/>
    </row>
    <row r="400" spans="1:8">
      <c r="A400">
        <v>0.5</v>
      </c>
      <c r="B400" t="s">
        <v>868</v>
      </c>
      <c r="C400" s="1" t="s">
        <v>4440</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160" t="s">
        <v>4451</v>
      </c>
      <c r="B406" s="1160"/>
      <c r="C406" s="1160"/>
      <c r="D406" s="1160"/>
      <c r="E406" s="1160"/>
      <c r="F406" s="1160"/>
      <c r="G406" s="1160"/>
      <c r="H406" s="1160"/>
    </row>
    <row r="407" spans="1:8">
      <c r="A407" s="85"/>
      <c r="B407" s="85" t="s">
        <v>4397</v>
      </c>
      <c r="C407" s="85" t="s">
        <v>4398</v>
      </c>
      <c r="D407" s="85"/>
      <c r="E407" s="85"/>
      <c r="F407" s="85"/>
      <c r="G407" s="85"/>
      <c r="H407" s="85"/>
    </row>
    <row r="408" spans="1:8">
      <c r="A408" s="85"/>
      <c r="B408" s="85"/>
      <c r="C408" s="85" t="s">
        <v>4399</v>
      </c>
      <c r="D408" s="85" t="s">
        <v>2055</v>
      </c>
      <c r="E408" s="85" t="s">
        <v>4452</v>
      </c>
      <c r="F408" s="85" t="s">
        <v>2055</v>
      </c>
      <c r="G408" s="20">
        <f>1*1*0.9*1.558</f>
        <v>1.4</v>
      </c>
      <c r="H408" s="85" t="s">
        <v>1645</v>
      </c>
    </row>
    <row r="409" spans="1:8">
      <c r="A409" s="85"/>
      <c r="B409" s="85" t="s">
        <v>4401</v>
      </c>
      <c r="C409" s="85" t="s">
        <v>4402</v>
      </c>
      <c r="D409" s="85"/>
      <c r="E409" s="85"/>
      <c r="F409" s="85"/>
      <c r="G409" s="85"/>
      <c r="H409" s="85"/>
    </row>
    <row r="410" spans="1:8">
      <c r="A410" s="85"/>
      <c r="B410" s="85"/>
      <c r="C410" s="85" t="s">
        <v>4403</v>
      </c>
      <c r="D410" s="85" t="s">
        <v>2055</v>
      </c>
      <c r="E410" s="85" t="s">
        <v>4404</v>
      </c>
      <c r="F410" s="85" t="s">
        <v>2055</v>
      </c>
      <c r="G410" s="20">
        <f>1*2*1.35*0.695</f>
        <v>1.88</v>
      </c>
      <c r="H410" s="85" t="s">
        <v>1645</v>
      </c>
    </row>
    <row r="411" spans="1:8">
      <c r="A411" s="85"/>
      <c r="B411" s="85" t="s">
        <v>4405</v>
      </c>
      <c r="C411" s="85" t="s">
        <v>4406</v>
      </c>
      <c r="D411" s="85"/>
      <c r="E411" s="85"/>
      <c r="F411" s="85"/>
      <c r="G411" s="20"/>
      <c r="H411" s="85"/>
    </row>
    <row r="412" spans="1:8">
      <c r="A412" s="85"/>
      <c r="B412" s="85"/>
      <c r="C412" s="85" t="s">
        <v>4407</v>
      </c>
      <c r="D412" s="85" t="s">
        <v>2055</v>
      </c>
      <c r="E412" s="85" t="s">
        <v>4453</v>
      </c>
      <c r="F412" s="85" t="s">
        <v>2055</v>
      </c>
      <c r="G412" s="20">
        <f>1*1*0.9*1.088</f>
        <v>0.98</v>
      </c>
      <c r="H412" s="85" t="s">
        <v>1645</v>
      </c>
    </row>
    <row r="413" spans="1:8">
      <c r="A413" s="85"/>
      <c r="B413" s="85" t="s">
        <v>4409</v>
      </c>
      <c r="C413" s="85" t="s">
        <v>4410</v>
      </c>
      <c r="D413" s="85"/>
      <c r="E413" s="85"/>
      <c r="F413" s="85"/>
      <c r="G413" s="20"/>
      <c r="H413" s="85"/>
    </row>
    <row r="414" spans="1:8">
      <c r="A414" s="85"/>
      <c r="B414" s="85"/>
      <c r="C414" s="85" t="s">
        <v>4411</v>
      </c>
      <c r="D414" s="85" t="s">
        <v>2055</v>
      </c>
      <c r="E414" s="85" t="s">
        <v>4412</v>
      </c>
      <c r="F414" s="85" t="s">
        <v>2055</v>
      </c>
      <c r="G414" s="20">
        <f>1*2*1.25*0.605</f>
        <v>1.51</v>
      </c>
      <c r="H414" s="85" t="s">
        <v>1645</v>
      </c>
    </row>
    <row r="415" spans="1:8">
      <c r="A415" s="85"/>
      <c r="B415" s="85" t="s">
        <v>4413</v>
      </c>
      <c r="C415" s="85" t="s">
        <v>4414</v>
      </c>
      <c r="D415" s="85"/>
      <c r="E415" s="85"/>
      <c r="F415" s="85"/>
      <c r="G415" s="20"/>
      <c r="H415" s="85"/>
    </row>
    <row r="416" spans="1:8">
      <c r="A416" s="85"/>
      <c r="B416" s="85"/>
      <c r="C416" s="85" t="s">
        <v>4415</v>
      </c>
      <c r="D416" s="85" t="s">
        <v>2055</v>
      </c>
      <c r="E416" s="85" t="s">
        <v>4416</v>
      </c>
      <c r="F416" s="85" t="s">
        <v>2055</v>
      </c>
      <c r="G416" s="20">
        <f>1*2*1.25*0.488</f>
        <v>1.22</v>
      </c>
      <c r="H416" s="85" t="s">
        <v>1645</v>
      </c>
    </row>
    <row r="417" spans="1:8">
      <c r="A417" s="85"/>
      <c r="B417" s="85" t="s">
        <v>4413</v>
      </c>
      <c r="C417" s="85" t="s">
        <v>4417</v>
      </c>
      <c r="D417" s="85"/>
      <c r="E417" s="85"/>
      <c r="F417" s="85"/>
      <c r="G417" s="20"/>
      <c r="H417" s="85"/>
    </row>
    <row r="418" spans="1:8">
      <c r="A418" s="85"/>
      <c r="B418" s="85"/>
      <c r="C418" s="85" t="s">
        <v>4418</v>
      </c>
      <c r="D418" s="85" t="s">
        <v>2055</v>
      </c>
      <c r="E418" s="85" t="s">
        <v>4454</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4420</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4421</v>
      </c>
      <c r="C423" s="85" t="s">
        <v>4422</v>
      </c>
      <c r="D423" s="85"/>
      <c r="E423" s="85"/>
      <c r="F423" s="85"/>
      <c r="G423" s="85"/>
      <c r="H423" s="85"/>
    </row>
    <row r="424" spans="1:8" ht="17.25">
      <c r="A424" s="85"/>
      <c r="B424" s="85"/>
      <c r="C424" s="85" t="s">
        <v>4423</v>
      </c>
      <c r="D424" s="85" t="s">
        <v>2055</v>
      </c>
      <c r="E424" s="85" t="s">
        <v>4455</v>
      </c>
      <c r="F424" s="85" t="s">
        <v>2055</v>
      </c>
      <c r="G424" s="109">
        <f>1*2*0.45*1.25</f>
        <v>1.125</v>
      </c>
      <c r="H424" s="85" t="s">
        <v>4425</v>
      </c>
    </row>
    <row r="425" spans="1:8">
      <c r="A425" s="85"/>
      <c r="B425" s="85"/>
      <c r="C425" s="85"/>
      <c r="D425" s="85"/>
      <c r="E425" s="85"/>
      <c r="F425" s="85"/>
      <c r="G425" s="20"/>
      <c r="H425" s="85"/>
    </row>
    <row r="426" spans="1:8">
      <c r="A426" s="85"/>
      <c r="B426" s="106" t="s">
        <v>4426</v>
      </c>
      <c r="C426" s="85" t="s">
        <v>3917</v>
      </c>
      <c r="D426" s="85" t="s">
        <v>2055</v>
      </c>
      <c r="E426" s="85" t="s">
        <v>4456</v>
      </c>
      <c r="F426" s="85" t="s">
        <v>2055</v>
      </c>
      <c r="G426" s="20">
        <f>1*2*2*3.4</f>
        <v>13.6</v>
      </c>
      <c r="H426" s="85" t="s">
        <v>826</v>
      </c>
    </row>
    <row r="427" spans="1:8">
      <c r="A427" s="85"/>
      <c r="B427" s="85"/>
      <c r="C427" s="85"/>
      <c r="D427" s="85"/>
      <c r="E427" s="85"/>
      <c r="F427" s="85"/>
      <c r="G427" s="20"/>
      <c r="H427" s="85"/>
    </row>
    <row r="428" spans="1:8" ht="17.25">
      <c r="A428" s="85"/>
      <c r="B428" s="106" t="s">
        <v>4428</v>
      </c>
      <c r="C428" s="85" t="s">
        <v>4429</v>
      </c>
      <c r="D428" s="85" t="s">
        <v>2055</v>
      </c>
      <c r="E428" s="85" t="s">
        <v>4457</v>
      </c>
      <c r="F428" s="85" t="s">
        <v>2055</v>
      </c>
      <c r="G428" s="20">
        <f>0.9*1.35</f>
        <v>1.22</v>
      </c>
      <c r="H428" s="85" t="s">
        <v>4425</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4431</v>
      </c>
      <c r="E432">
        <v>287</v>
      </c>
      <c r="F432" t="s">
        <v>913</v>
      </c>
      <c r="G432">
        <f t="shared" ref="G432:G437" si="16">E432*A432</f>
        <v>2407.9299999999998</v>
      </c>
      <c r="H432" s="85"/>
    </row>
    <row r="433" spans="1:8">
      <c r="A433" s="7">
        <f>G424</f>
        <v>1.125</v>
      </c>
      <c r="B433" t="s">
        <v>233</v>
      </c>
      <c r="C433" s="1" t="s">
        <v>4432</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4433</v>
      </c>
      <c r="E435">
        <v>59.4</v>
      </c>
      <c r="F435" t="s">
        <v>769</v>
      </c>
      <c r="G435">
        <f t="shared" si="16"/>
        <v>59.4</v>
      </c>
      <c r="H435" s="85"/>
    </row>
    <row r="436" spans="1:8">
      <c r="A436" s="7">
        <v>1</v>
      </c>
      <c r="B436" t="s">
        <v>769</v>
      </c>
      <c r="C436" s="1" t="s">
        <v>4434</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4458</v>
      </c>
      <c r="G439">
        <f>SUM(G432:G438)</f>
        <v>4585.8900000000003</v>
      </c>
      <c r="H439" s="85"/>
    </row>
    <row r="440" spans="1:8">
      <c r="C440" s="107" t="s">
        <v>4436</v>
      </c>
      <c r="D440" s="91" t="s">
        <v>2055</v>
      </c>
      <c r="E440" s="91"/>
      <c r="F440" s="11"/>
      <c r="G440" s="89">
        <f>G439/A437</f>
        <v>3758.93</v>
      </c>
      <c r="H440" s="85"/>
    </row>
    <row r="441" spans="1:8">
      <c r="A441" s="85"/>
      <c r="B441" s="85"/>
      <c r="C441" s="85"/>
      <c r="D441" s="85"/>
      <c r="E441" s="85"/>
      <c r="F441" s="85"/>
      <c r="G441" s="85"/>
      <c r="H441" s="85"/>
    </row>
    <row r="442" spans="1:8">
      <c r="A442" s="85"/>
      <c r="B442" s="85"/>
      <c r="C442" s="88" t="s">
        <v>4437</v>
      </c>
      <c r="D442" s="85"/>
      <c r="E442" s="85"/>
      <c r="F442" s="85"/>
      <c r="G442" s="85"/>
      <c r="H442" s="85"/>
    </row>
    <row r="443" spans="1:8">
      <c r="A443">
        <v>1</v>
      </c>
      <c r="B443" t="s">
        <v>868</v>
      </c>
      <c r="C443" s="1" t="s">
        <v>4438</v>
      </c>
      <c r="E443">
        <v>501</v>
      </c>
      <c r="F443" s="1" t="s">
        <v>868</v>
      </c>
      <c r="G443" s="85">
        <f>E443*A443</f>
        <v>501</v>
      </c>
      <c r="H443" s="85"/>
    </row>
    <row r="444" spans="1:8">
      <c r="A444">
        <v>1</v>
      </c>
      <c r="B444" t="s">
        <v>868</v>
      </c>
      <c r="C444" s="1" t="s">
        <v>4439</v>
      </c>
      <c r="E444">
        <v>355</v>
      </c>
      <c r="F444" s="1" t="s">
        <v>868</v>
      </c>
      <c r="G444" s="85">
        <f>E444*A444</f>
        <v>355</v>
      </c>
      <c r="H444" s="85"/>
    </row>
    <row r="445" spans="1:8">
      <c r="A445">
        <v>0.5</v>
      </c>
      <c r="B445" t="s">
        <v>868</v>
      </c>
      <c r="C445" s="1" t="s">
        <v>4440</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160" t="s">
        <v>4459</v>
      </c>
      <c r="B451" s="1160"/>
      <c r="C451" s="1160"/>
      <c r="D451" s="1160"/>
      <c r="E451" s="1160"/>
      <c r="F451" s="1160"/>
      <c r="G451" s="1160"/>
      <c r="H451" s="1160"/>
    </row>
    <row r="452" spans="1:8">
      <c r="A452" s="85"/>
      <c r="B452" s="85" t="s">
        <v>4397</v>
      </c>
      <c r="C452" s="85" t="s">
        <v>4398</v>
      </c>
      <c r="D452" s="85"/>
      <c r="E452" s="85"/>
      <c r="F452" s="85"/>
      <c r="G452" s="85"/>
      <c r="H452" s="85"/>
    </row>
    <row r="453" spans="1:8">
      <c r="A453" s="85"/>
      <c r="B453" s="85"/>
      <c r="C453" s="85" t="s">
        <v>4399</v>
      </c>
      <c r="D453" s="85" t="s">
        <v>2055</v>
      </c>
      <c r="E453" s="85" t="s">
        <v>4442</v>
      </c>
      <c r="F453" s="85" t="s">
        <v>2055</v>
      </c>
      <c r="G453" s="20">
        <f>1*2*2.4*1.558</f>
        <v>7.48</v>
      </c>
      <c r="H453" s="85" t="s">
        <v>1645</v>
      </c>
    </row>
    <row r="454" spans="1:8">
      <c r="A454" s="85"/>
      <c r="B454" s="85" t="s">
        <v>4401</v>
      </c>
      <c r="C454" s="85" t="s">
        <v>4402</v>
      </c>
      <c r="D454" s="85"/>
      <c r="E454" s="85"/>
      <c r="F454" s="85"/>
      <c r="G454" s="85"/>
      <c r="H454" s="85"/>
    </row>
    <row r="455" spans="1:8">
      <c r="A455" s="85"/>
      <c r="B455" s="85"/>
      <c r="C455" s="85" t="s">
        <v>4403</v>
      </c>
      <c r="D455" s="85" t="s">
        <v>2055</v>
      </c>
      <c r="E455" s="85" t="s">
        <v>4460</v>
      </c>
      <c r="F455" s="85" t="s">
        <v>2055</v>
      </c>
      <c r="G455" s="20">
        <f>1*2*1.8*0.695</f>
        <v>2.5</v>
      </c>
      <c r="H455" s="85" t="s">
        <v>1645</v>
      </c>
    </row>
    <row r="456" spans="1:8">
      <c r="A456" s="85"/>
      <c r="B456" s="85" t="s">
        <v>4405</v>
      </c>
      <c r="C456" s="85" t="s">
        <v>4406</v>
      </c>
      <c r="D456" s="85"/>
      <c r="E456" s="85"/>
      <c r="F456" s="85"/>
      <c r="G456" s="20"/>
      <c r="H456" s="85"/>
    </row>
    <row r="457" spans="1:8">
      <c r="A457" s="85"/>
      <c r="B457" s="85"/>
      <c r="C457" s="85" t="s">
        <v>4407</v>
      </c>
      <c r="D457" s="85" t="s">
        <v>2055</v>
      </c>
      <c r="E457" s="85" t="s">
        <v>4444</v>
      </c>
      <c r="F457" s="85" t="s">
        <v>2055</v>
      </c>
      <c r="G457" s="20">
        <f>1*1*2.4*1.088</f>
        <v>2.61</v>
      </c>
      <c r="H457" s="85" t="s">
        <v>1645</v>
      </c>
    </row>
    <row r="458" spans="1:8">
      <c r="A458" s="85"/>
      <c r="B458" s="85" t="s">
        <v>4401</v>
      </c>
      <c r="C458" s="85" t="s">
        <v>4402</v>
      </c>
      <c r="D458" s="85"/>
      <c r="E458" s="85"/>
      <c r="F458" s="85"/>
      <c r="G458" s="85"/>
      <c r="H458" s="85"/>
    </row>
    <row r="459" spans="1:8">
      <c r="A459" s="85"/>
      <c r="B459" s="85"/>
      <c r="C459" s="85" t="s">
        <v>4461</v>
      </c>
      <c r="D459" s="85" t="s">
        <v>2055</v>
      </c>
      <c r="E459" s="85" t="s">
        <v>4462</v>
      </c>
      <c r="F459" s="85" t="s">
        <v>2055</v>
      </c>
      <c r="G459" s="20">
        <f>1*2*1.2*0.695</f>
        <v>1.67</v>
      </c>
      <c r="H459" s="85" t="s">
        <v>1645</v>
      </c>
    </row>
    <row r="460" spans="1:8">
      <c r="A460" s="85"/>
      <c r="B460" s="85" t="s">
        <v>4409</v>
      </c>
      <c r="C460" s="85" t="s">
        <v>4410</v>
      </c>
      <c r="D460" s="85"/>
      <c r="E460" s="85"/>
      <c r="F460" s="85"/>
      <c r="G460" s="20"/>
      <c r="H460" s="85"/>
    </row>
    <row r="461" spans="1:8">
      <c r="A461" s="85"/>
      <c r="B461" s="85"/>
      <c r="C461" s="85" t="s">
        <v>4411</v>
      </c>
      <c r="D461" s="85" t="s">
        <v>2055</v>
      </c>
      <c r="E461" s="85" t="s">
        <v>4463</v>
      </c>
      <c r="F461" s="85" t="s">
        <v>2055</v>
      </c>
      <c r="G461" s="20">
        <f>1*4*1.1*0.605</f>
        <v>2.66</v>
      </c>
      <c r="H461" s="85" t="s">
        <v>1645</v>
      </c>
    </row>
    <row r="462" spans="1:8">
      <c r="A462" s="85"/>
      <c r="B462" s="85" t="s">
        <v>4413</v>
      </c>
      <c r="C462" s="85" t="s">
        <v>4414</v>
      </c>
      <c r="D462" s="85"/>
      <c r="E462" s="85"/>
      <c r="F462" s="85"/>
      <c r="G462" s="20"/>
      <c r="H462" s="85"/>
    </row>
    <row r="463" spans="1:8">
      <c r="A463" s="85"/>
      <c r="B463" s="85"/>
      <c r="C463" s="85" t="s">
        <v>4415</v>
      </c>
      <c r="D463" s="85" t="s">
        <v>2055</v>
      </c>
      <c r="E463" s="85" t="s">
        <v>4464</v>
      </c>
      <c r="F463" s="85" t="s">
        <v>2055</v>
      </c>
      <c r="G463" s="20">
        <f>1*4*1.1*0.488</f>
        <v>2.15</v>
      </c>
      <c r="H463" s="85" t="s">
        <v>1645</v>
      </c>
    </row>
    <row r="464" spans="1:8">
      <c r="A464" s="85"/>
      <c r="B464" s="85" t="s">
        <v>4465</v>
      </c>
      <c r="C464" s="85" t="s">
        <v>4417</v>
      </c>
      <c r="D464" s="85"/>
      <c r="E464" s="85"/>
      <c r="F464" s="85"/>
      <c r="G464" s="20"/>
      <c r="H464" s="85"/>
    </row>
    <row r="465" spans="1:8">
      <c r="A465" s="85"/>
      <c r="B465" s="85"/>
      <c r="C465" s="85" t="s">
        <v>4418</v>
      </c>
      <c r="D465" s="85" t="s">
        <v>2055</v>
      </c>
      <c r="E465" s="85" t="s">
        <v>4447</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4420</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4421</v>
      </c>
      <c r="C470" s="85" t="s">
        <v>4422</v>
      </c>
      <c r="D470" s="85"/>
      <c r="E470" s="85"/>
      <c r="F470" s="85"/>
      <c r="G470" s="85"/>
      <c r="H470" s="85"/>
    </row>
    <row r="471" spans="1:8" ht="17.25">
      <c r="A471" s="85"/>
      <c r="B471" s="85"/>
      <c r="C471" s="85" t="s">
        <v>4423</v>
      </c>
      <c r="D471" s="85" t="s">
        <v>2055</v>
      </c>
      <c r="E471" s="85" t="s">
        <v>4466</v>
      </c>
      <c r="F471" s="85" t="s">
        <v>2055</v>
      </c>
      <c r="G471" s="20">
        <f>1*4*0.55*1.1</f>
        <v>2.42</v>
      </c>
      <c r="H471" s="85" t="s">
        <v>4425</v>
      </c>
    </row>
    <row r="472" spans="1:8" ht="17.25">
      <c r="A472" s="85"/>
      <c r="B472" s="85"/>
      <c r="C472" s="85" t="s">
        <v>4467</v>
      </c>
      <c r="D472" s="85" t="s">
        <v>2055</v>
      </c>
      <c r="E472" s="85" t="s">
        <v>4468</v>
      </c>
      <c r="F472" s="85" t="s">
        <v>2055</v>
      </c>
      <c r="G472" s="20">
        <f>1*1*2.3*0.6</f>
        <v>1.38</v>
      </c>
      <c r="H472" s="85" t="s">
        <v>4425</v>
      </c>
    </row>
    <row r="473" spans="1:8" ht="17.25">
      <c r="A473" s="85"/>
      <c r="B473" s="85"/>
      <c r="C473" s="85"/>
      <c r="D473" s="85"/>
      <c r="E473" s="85"/>
      <c r="F473" s="85"/>
      <c r="G473" s="89">
        <f>SUM(G471:G472)</f>
        <v>3.8</v>
      </c>
      <c r="H473" s="88" t="s">
        <v>4469</v>
      </c>
    </row>
    <row r="474" spans="1:8">
      <c r="A474" s="85"/>
      <c r="B474" s="85"/>
      <c r="C474" s="85"/>
      <c r="D474" s="85"/>
      <c r="E474" s="85"/>
      <c r="F474" s="85"/>
      <c r="G474" s="89"/>
      <c r="H474" s="88"/>
    </row>
    <row r="475" spans="1:8">
      <c r="A475" s="85"/>
      <c r="B475" s="106" t="s">
        <v>4426</v>
      </c>
      <c r="C475" s="85" t="s">
        <v>3917</v>
      </c>
      <c r="D475" s="85" t="s">
        <v>2055</v>
      </c>
      <c r="E475" s="85" t="s">
        <v>4470</v>
      </c>
      <c r="F475" s="85" t="s">
        <v>2055</v>
      </c>
      <c r="G475" s="20">
        <f>1*2*4*3.3</f>
        <v>26.4</v>
      </c>
      <c r="H475" s="85" t="s">
        <v>826</v>
      </c>
    </row>
    <row r="476" spans="1:8">
      <c r="A476" s="85"/>
      <c r="B476" s="106"/>
      <c r="C476" s="85"/>
      <c r="D476" s="85" t="s">
        <v>2055</v>
      </c>
      <c r="E476" s="85" t="s">
        <v>4471</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4428</v>
      </c>
      <c r="C479" s="85" t="s">
        <v>4429</v>
      </c>
      <c r="D479" s="85" t="s">
        <v>2055</v>
      </c>
      <c r="E479" s="85" t="s">
        <v>4472</v>
      </c>
      <c r="F479" s="85" t="s">
        <v>2055</v>
      </c>
      <c r="G479" s="20">
        <f>2.4*1.8</f>
        <v>4.32</v>
      </c>
      <c r="H479" s="85" t="s">
        <v>4425</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4431</v>
      </c>
      <c r="E483">
        <v>287</v>
      </c>
      <c r="F483" t="s">
        <v>913</v>
      </c>
      <c r="G483">
        <f t="shared" ref="G483:G488" si="17">E483*A483</f>
        <v>6512.03</v>
      </c>
      <c r="H483" s="85"/>
    </row>
    <row r="484" spans="1:8">
      <c r="A484" s="7">
        <f>G473</f>
        <v>3.8</v>
      </c>
      <c r="B484" t="s">
        <v>233</v>
      </c>
      <c r="C484" s="1" t="s">
        <v>4432</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4433</v>
      </c>
      <c r="E486">
        <v>59.4</v>
      </c>
      <c r="F486" t="s">
        <v>769</v>
      </c>
      <c r="G486">
        <f t="shared" si="17"/>
        <v>59.4</v>
      </c>
      <c r="H486" s="85"/>
    </row>
    <row r="487" spans="1:8">
      <c r="A487" s="7">
        <v>1</v>
      </c>
      <c r="B487" t="s">
        <v>769</v>
      </c>
      <c r="C487" s="1" t="s">
        <v>4434</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4473</v>
      </c>
      <c r="G490">
        <f>SUM(G483:G489)</f>
        <v>13691.03</v>
      </c>
      <c r="H490" s="85"/>
    </row>
    <row r="491" spans="1:8">
      <c r="C491" s="107" t="s">
        <v>4436</v>
      </c>
      <c r="D491" s="91" t="s">
        <v>2055</v>
      </c>
      <c r="E491" s="91"/>
      <c r="F491" s="11"/>
      <c r="G491" s="89">
        <f>G490/A488</f>
        <v>3169.22</v>
      </c>
      <c r="H491" s="85"/>
    </row>
    <row r="492" spans="1:8">
      <c r="A492" s="85"/>
      <c r="B492" s="85"/>
      <c r="C492" s="85"/>
      <c r="D492" s="85"/>
      <c r="E492" s="85"/>
      <c r="F492" s="85"/>
      <c r="G492" s="85"/>
      <c r="H492" s="85"/>
    </row>
    <row r="493" spans="1:8">
      <c r="A493" s="85"/>
      <c r="B493" s="85"/>
      <c r="C493" s="88" t="s">
        <v>4437</v>
      </c>
      <c r="D493" s="85"/>
      <c r="E493" s="85"/>
      <c r="F493" s="85"/>
      <c r="G493" s="85"/>
      <c r="H493" s="85"/>
    </row>
    <row r="494" spans="1:8">
      <c r="A494">
        <v>1</v>
      </c>
      <c r="B494" t="s">
        <v>868</v>
      </c>
      <c r="C494" s="1" t="s">
        <v>4438</v>
      </c>
      <c r="E494">
        <v>501</v>
      </c>
      <c r="F494" s="1" t="s">
        <v>868</v>
      </c>
      <c r="G494" s="85">
        <f>E494*A494</f>
        <v>501</v>
      </c>
      <c r="H494" s="85"/>
    </row>
    <row r="495" spans="1:8">
      <c r="A495">
        <v>1</v>
      </c>
      <c r="B495" t="s">
        <v>868</v>
      </c>
      <c r="C495" s="1" t="s">
        <v>4439</v>
      </c>
      <c r="E495">
        <v>355</v>
      </c>
      <c r="F495" s="1" t="s">
        <v>868</v>
      </c>
      <c r="G495" s="85">
        <f>E495*A495</f>
        <v>355</v>
      </c>
      <c r="H495" s="85"/>
    </row>
    <row r="496" spans="1:8">
      <c r="A496">
        <v>0.5</v>
      </c>
      <c r="B496" t="s">
        <v>868</v>
      </c>
      <c r="C496" s="1" t="s">
        <v>4440</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4483</v>
      </c>
      <c r="D501" s="85"/>
      <c r="E501" s="85"/>
      <c r="F501" s="85"/>
      <c r="G501" s="85"/>
      <c r="H501" s="85"/>
    </row>
    <row r="502" spans="1:8">
      <c r="A502" s="85"/>
      <c r="B502" s="85" t="s">
        <v>4397</v>
      </c>
      <c r="C502" s="85" t="s">
        <v>4398</v>
      </c>
      <c r="D502" s="85"/>
      <c r="E502" s="85"/>
      <c r="F502" s="85"/>
      <c r="G502" s="85"/>
      <c r="H502" s="85"/>
    </row>
    <row r="503" spans="1:8">
      <c r="A503" s="85"/>
      <c r="B503" s="85"/>
      <c r="C503" s="85" t="s">
        <v>4474</v>
      </c>
      <c r="D503" s="85" t="s">
        <v>2055</v>
      </c>
      <c r="E503" s="85" t="s">
        <v>4475</v>
      </c>
      <c r="F503" s="85" t="s">
        <v>2055</v>
      </c>
      <c r="G503" s="20">
        <f>1*2*0.6</f>
        <v>1.2</v>
      </c>
      <c r="H503" s="85" t="s">
        <v>1645</v>
      </c>
    </row>
    <row r="504" spans="1:8">
      <c r="A504" s="85"/>
      <c r="B504" s="85"/>
      <c r="C504" s="85" t="s">
        <v>4476</v>
      </c>
      <c r="D504" s="85" t="s">
        <v>2055</v>
      </c>
      <c r="E504" s="85" t="s">
        <v>4477</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4478</v>
      </c>
      <c r="F506" s="85" t="s">
        <v>2055</v>
      </c>
      <c r="G506" s="21">
        <f>3*1.558</f>
        <v>4.67</v>
      </c>
      <c r="H506" s="85" t="s">
        <v>1645</v>
      </c>
    </row>
    <row r="507" spans="1:8">
      <c r="A507" s="85"/>
      <c r="B507" s="85"/>
      <c r="C507" s="85"/>
      <c r="D507" s="85"/>
      <c r="E507" s="85"/>
      <c r="F507" s="85"/>
      <c r="G507" s="20"/>
      <c r="H507" s="85"/>
    </row>
    <row r="508" spans="1:8">
      <c r="A508" s="85"/>
      <c r="B508" s="85"/>
      <c r="C508" s="85" t="s">
        <v>4479</v>
      </c>
      <c r="D508" s="85" t="s">
        <v>2055</v>
      </c>
      <c r="E508" s="85" t="s">
        <v>4480</v>
      </c>
      <c r="F508" s="85" t="s">
        <v>2055</v>
      </c>
      <c r="G508" s="21">
        <f>0.9*0.6</f>
        <v>0.54</v>
      </c>
      <c r="H508" s="85" t="s">
        <v>4481</v>
      </c>
    </row>
    <row r="509" spans="1:8">
      <c r="A509" s="85"/>
      <c r="B509" s="85"/>
      <c r="C509" s="85"/>
      <c r="D509" s="85"/>
      <c r="E509" s="85"/>
      <c r="F509" s="85"/>
      <c r="G509" s="21"/>
      <c r="H509" s="85"/>
    </row>
    <row r="510" spans="1:8">
      <c r="A510" s="85"/>
      <c r="B510" s="85"/>
      <c r="C510" s="85" t="s">
        <v>915</v>
      </c>
      <c r="D510" s="85" t="s">
        <v>2055</v>
      </c>
      <c r="E510" s="85" t="s">
        <v>4482</v>
      </c>
      <c r="F510" s="85" t="s">
        <v>2055</v>
      </c>
      <c r="G510" s="21">
        <f>0.9*0.6</f>
        <v>0.54</v>
      </c>
      <c r="H510" s="85" t="s">
        <v>4481</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4484</v>
      </c>
      <c r="G519" s="91">
        <f>SUM(G515:G518)</f>
        <v>2052.44</v>
      </c>
      <c r="H519" s="85"/>
    </row>
    <row r="520" spans="1:8">
      <c r="A520" s="7"/>
      <c r="C520" s="107" t="s">
        <v>4436</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4492</v>
      </c>
      <c r="D526" s="24"/>
      <c r="E526" s="25"/>
      <c r="F526" s="24"/>
      <c r="G526" s="5"/>
      <c r="H526" s="5"/>
    </row>
    <row r="527" spans="1:8">
      <c r="A527" s="24"/>
      <c r="B527" s="24"/>
      <c r="C527" s="28" t="s">
        <v>4355</v>
      </c>
      <c r="D527" s="24"/>
      <c r="E527" s="25"/>
      <c r="F527" s="24"/>
      <c r="G527" s="5"/>
      <c r="H527" s="5"/>
    </row>
    <row r="528" spans="1:8" ht="18">
      <c r="A528" s="24"/>
      <c r="B528" s="24"/>
      <c r="C528" s="40" t="s">
        <v>4356</v>
      </c>
      <c r="D528" s="24"/>
      <c r="E528" s="25"/>
      <c r="F528" s="24"/>
      <c r="G528" s="5"/>
      <c r="H528" s="5"/>
    </row>
    <row r="529" spans="1:8">
      <c r="A529" s="24"/>
      <c r="B529" s="24"/>
      <c r="C529" s="29" t="s">
        <v>1586</v>
      </c>
      <c r="D529" s="24"/>
      <c r="E529" s="25"/>
      <c r="F529" s="24"/>
      <c r="G529" s="5"/>
      <c r="H529" s="5"/>
    </row>
    <row r="530" spans="1:8">
      <c r="A530" s="24"/>
      <c r="B530" s="24"/>
      <c r="C530" s="22" t="s">
        <v>4357</v>
      </c>
      <c r="G530" s="5"/>
      <c r="H530" s="5"/>
    </row>
    <row r="531" spans="1:8">
      <c r="A531" s="24"/>
      <c r="B531" s="24"/>
      <c r="C531" s="34" t="s">
        <v>4358</v>
      </c>
      <c r="D531" s="85"/>
      <c r="E531" s="42">
        <f>3*2*1.9*0.075*0.0375</f>
        <v>3.2099999999999997E-2</v>
      </c>
      <c r="F531" s="24" t="s">
        <v>2151</v>
      </c>
      <c r="G531" s="5"/>
      <c r="H531" s="5"/>
    </row>
    <row r="532" spans="1:8">
      <c r="A532" s="24"/>
      <c r="B532" s="24"/>
      <c r="C532" s="28" t="s">
        <v>4359</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4360</v>
      </c>
      <c r="D537" s="43"/>
      <c r="E537" s="41">
        <f>3*1.9*0.5</f>
        <v>2.85</v>
      </c>
      <c r="F537" t="s">
        <v>609</v>
      </c>
      <c r="G537" s="5"/>
      <c r="H537" s="5"/>
    </row>
    <row r="538" spans="1:8">
      <c r="A538" s="24"/>
      <c r="B538" s="24"/>
      <c r="C538" s="28"/>
      <c r="D538" s="43"/>
      <c r="E538" s="41"/>
      <c r="F538" s="32"/>
      <c r="G538" s="5"/>
      <c r="H538" s="5"/>
    </row>
    <row r="539" spans="1:8">
      <c r="A539" s="24"/>
      <c r="B539" s="24"/>
      <c r="C539" s="28" t="s">
        <v>4361</v>
      </c>
      <c r="D539" s="43"/>
      <c r="E539" s="41"/>
      <c r="F539" s="32"/>
      <c r="G539" s="5"/>
      <c r="H539" s="5"/>
    </row>
    <row r="540" spans="1:8">
      <c r="A540" s="24"/>
      <c r="B540" s="24"/>
      <c r="C540" s="28" t="s">
        <v>4362</v>
      </c>
      <c r="D540" s="43"/>
      <c r="E540" s="42">
        <f>3*1.775*0.375</f>
        <v>1.9968999999999999</v>
      </c>
      <c r="F540" s="32" t="str">
        <f>F537</f>
        <v>SQM</v>
      </c>
      <c r="G540" s="5"/>
      <c r="H540" s="5"/>
    </row>
    <row r="541" spans="1:8">
      <c r="A541" s="24"/>
      <c r="B541" s="24"/>
      <c r="C541" s="28" t="s">
        <v>4363</v>
      </c>
      <c r="D541" s="24"/>
      <c r="E541" s="42"/>
      <c r="F541" s="34"/>
      <c r="G541" s="5"/>
      <c r="H541" s="5"/>
    </row>
    <row r="542" spans="1:8">
      <c r="A542" s="33"/>
      <c r="B542" s="24"/>
      <c r="C542" s="28" t="s">
        <v>4364</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4365</v>
      </c>
      <c r="D544" s="104"/>
      <c r="E544" s="25"/>
      <c r="F544" s="24"/>
      <c r="G544" s="24"/>
      <c r="H544" s="5"/>
    </row>
    <row r="545" spans="1:8">
      <c r="A545" s="33"/>
      <c r="B545" s="24"/>
      <c r="C545" s="22" t="s">
        <v>4366</v>
      </c>
      <c r="D545" s="85"/>
      <c r="E545" s="24"/>
      <c r="F545" s="25"/>
      <c r="G545" s="24"/>
      <c r="H545" s="5"/>
    </row>
    <row r="546" spans="1:8">
      <c r="A546" s="32">
        <f>E534</f>
        <v>4.0500000000000001E-2</v>
      </c>
      <c r="B546" s="25" t="s">
        <v>869</v>
      </c>
      <c r="C546" s="28" t="s">
        <v>4523</v>
      </c>
      <c r="D546" s="24">
        <f>Data!I951</f>
        <v>99400</v>
      </c>
      <c r="E546" s="28" t="s">
        <v>869</v>
      </c>
      <c r="F546" s="24">
        <f>(A546*D546)</f>
        <v>4025.7</v>
      </c>
      <c r="G546" s="24"/>
      <c r="H546" s="5"/>
    </row>
    <row r="547" spans="1:8">
      <c r="A547" s="32">
        <f>E537</f>
        <v>2.85</v>
      </c>
      <c r="B547" t="s">
        <v>609</v>
      </c>
      <c r="C547" s="28" t="s">
        <v>4524</v>
      </c>
      <c r="D547" s="24">
        <f>Data!P3228</f>
        <v>57.65</v>
      </c>
      <c r="E547" t="s">
        <v>609</v>
      </c>
      <c r="F547" s="24">
        <f>(A547*D547)</f>
        <v>164.3</v>
      </c>
      <c r="G547" s="24"/>
      <c r="H547" s="5"/>
    </row>
    <row r="548" spans="1:8">
      <c r="A548" s="32">
        <f>E540</f>
        <v>1.9968999999999999</v>
      </c>
      <c r="B548" t="s">
        <v>609</v>
      </c>
      <c r="C548" s="28" t="s">
        <v>4361</v>
      </c>
      <c r="D548" s="24">
        <f>Data!I1072</f>
        <v>208.8</v>
      </c>
      <c r="E548" t="s">
        <v>609</v>
      </c>
      <c r="F548" s="24">
        <f t="shared" ref="F548:F554" si="18">(A548*D548)</f>
        <v>416.95</v>
      </c>
      <c r="G548" s="24"/>
      <c r="H548" s="5"/>
    </row>
    <row r="549" spans="1:8">
      <c r="A549" s="24">
        <f>E543</f>
        <v>12.9</v>
      </c>
      <c r="B549" s="24" t="s">
        <v>826</v>
      </c>
      <c r="C549" s="22" t="s">
        <v>4368</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4369</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4370</v>
      </c>
      <c r="D556" s="85"/>
      <c r="E556" s="25"/>
      <c r="F556" s="26">
        <f>SUM(F546:F555)</f>
        <v>6878.07</v>
      </c>
      <c r="G556" s="44"/>
      <c r="H556" s="5"/>
    </row>
    <row r="557" spans="1:8">
      <c r="A557" s="24"/>
      <c r="B557" s="24"/>
      <c r="C557" s="85"/>
      <c r="D557" s="24"/>
      <c r="E557" s="25"/>
      <c r="F557" s="29" t="s">
        <v>1586</v>
      </c>
      <c r="G557" s="85"/>
      <c r="H557" s="5"/>
    </row>
    <row r="558" spans="1:8">
      <c r="A558" s="24"/>
      <c r="B558" s="24"/>
      <c r="C558" s="26" t="s">
        <v>4049</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156"/>
      <c r="F560" s="1156"/>
      <c r="G560" s="1156"/>
      <c r="H560" s="1156"/>
    </row>
    <row r="561" spans="1:8">
      <c r="G561" s="5"/>
      <c r="H561" s="5"/>
    </row>
    <row r="562" spans="1:8">
      <c r="A562" s="85"/>
      <c r="B562" s="85"/>
      <c r="C562" s="85"/>
      <c r="D562" s="85"/>
      <c r="E562" s="85"/>
      <c r="F562" s="85"/>
      <c r="G562" s="85"/>
      <c r="H562" s="85"/>
    </row>
    <row r="563" spans="1:8">
      <c r="A563" s="114">
        <v>1</v>
      </c>
      <c r="B563" s="24"/>
      <c r="C563" s="28" t="s">
        <v>4355</v>
      </c>
      <c r="D563" s="24"/>
      <c r="E563" s="25"/>
      <c r="F563" s="24"/>
      <c r="G563" s="85"/>
      <c r="H563" s="85"/>
    </row>
    <row r="564" spans="1:8" ht="18">
      <c r="A564" s="24"/>
      <c r="B564" s="24"/>
      <c r="C564" s="40" t="s">
        <v>4493</v>
      </c>
      <c r="D564" s="24"/>
      <c r="E564" s="25"/>
      <c r="F564" s="24"/>
      <c r="G564" s="85"/>
      <c r="H564" s="85"/>
    </row>
    <row r="565" spans="1:8">
      <c r="A565" s="24"/>
      <c r="B565" s="24"/>
      <c r="C565" s="29" t="s">
        <v>1586</v>
      </c>
      <c r="D565" s="24"/>
      <c r="E565" s="25"/>
      <c r="F565" s="24"/>
      <c r="G565" s="85"/>
      <c r="H565" s="85"/>
    </row>
    <row r="566" spans="1:8">
      <c r="A566" s="24"/>
      <c r="B566" s="24"/>
      <c r="C566" s="22" t="s">
        <v>4357</v>
      </c>
      <c r="F566" t="s">
        <v>2151</v>
      </c>
      <c r="G566" s="85"/>
      <c r="H566" s="85"/>
    </row>
    <row r="567" spans="1:8">
      <c r="A567" s="24"/>
      <c r="B567" s="24"/>
      <c r="C567" s="34" t="s">
        <v>4494</v>
      </c>
      <c r="D567" s="85"/>
      <c r="E567" s="42">
        <f>3*2*1.9*0.075*0.0375</f>
        <v>3.2099999999999997E-2</v>
      </c>
      <c r="F567" s="24" t="s">
        <v>2151</v>
      </c>
      <c r="G567" s="85"/>
      <c r="H567" s="85"/>
    </row>
    <row r="568" spans="1:8">
      <c r="A568" s="24"/>
      <c r="B568" s="24"/>
      <c r="C568" s="28" t="s">
        <v>4495</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4496</v>
      </c>
      <c r="D573" s="43"/>
      <c r="E573" s="41">
        <f>3*1.9*0.6</f>
        <v>3.42</v>
      </c>
      <c r="F573" t="s">
        <v>609</v>
      </c>
      <c r="G573" s="85"/>
      <c r="H573" s="85"/>
    </row>
    <row r="574" spans="1:8">
      <c r="A574" s="24"/>
      <c r="B574" s="24"/>
      <c r="C574" s="28"/>
      <c r="D574" s="43"/>
      <c r="E574" s="41"/>
      <c r="F574" s="32"/>
      <c r="G574" s="85"/>
      <c r="H574" s="85"/>
    </row>
    <row r="575" spans="1:8">
      <c r="A575" s="24"/>
      <c r="B575" s="24"/>
      <c r="C575" s="28" t="s">
        <v>4361</v>
      </c>
      <c r="D575" s="43"/>
      <c r="E575" s="41"/>
      <c r="F575" s="32"/>
      <c r="G575" s="85"/>
      <c r="H575" s="85"/>
    </row>
    <row r="576" spans="1:8">
      <c r="A576" s="24"/>
      <c r="B576" s="24"/>
      <c r="C576" s="28" t="s">
        <v>4497</v>
      </c>
      <c r="D576" s="43"/>
      <c r="E576" s="42">
        <f>3*1.775*0.475</f>
        <v>2.5293999999999999</v>
      </c>
      <c r="F576" s="32" t="str">
        <f>F573</f>
        <v>SQM</v>
      </c>
      <c r="G576" s="85"/>
      <c r="H576" s="85"/>
    </row>
    <row r="577" spans="1:8">
      <c r="A577" s="24"/>
      <c r="B577" s="24"/>
      <c r="C577" s="28" t="s">
        <v>4363</v>
      </c>
      <c r="D577" s="24"/>
      <c r="E577" s="42"/>
      <c r="F577" s="34"/>
      <c r="G577" s="85"/>
      <c r="H577" s="85"/>
    </row>
    <row r="578" spans="1:8">
      <c r="A578" s="33"/>
      <c r="B578" s="24"/>
      <c r="C578" s="28" t="s">
        <v>4498</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4365</v>
      </c>
      <c r="D580" s="104"/>
      <c r="E580" s="25"/>
      <c r="F580" s="24"/>
      <c r="G580" s="85"/>
      <c r="H580" s="85"/>
    </row>
    <row r="581" spans="1:8">
      <c r="A581" s="32"/>
      <c r="B581" s="24"/>
      <c r="C581" s="31"/>
      <c r="D581" s="85"/>
      <c r="E581" s="24"/>
      <c r="F581" s="25"/>
      <c r="G581" s="85"/>
      <c r="H581" s="85"/>
    </row>
    <row r="582" spans="1:8">
      <c r="A582" s="33"/>
      <c r="B582" s="24"/>
      <c r="C582" s="22" t="s">
        <v>4366</v>
      </c>
      <c r="D582" s="85"/>
      <c r="E582" s="24"/>
      <c r="F582" s="25"/>
      <c r="G582" s="85"/>
      <c r="H582" s="85"/>
    </row>
    <row r="583" spans="1:8">
      <c r="A583" s="32">
        <f>E570</f>
        <v>4.2200000000000001E-2</v>
      </c>
      <c r="B583" s="25" t="s">
        <v>869</v>
      </c>
      <c r="C583" s="28" t="s">
        <v>4367</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4361</v>
      </c>
      <c r="D585" s="24">
        <f t="shared" si="19"/>
        <v>208.8</v>
      </c>
      <c r="E585" t="s">
        <v>609</v>
      </c>
      <c r="F585" s="24">
        <f t="shared" si="20"/>
        <v>528.14</v>
      </c>
      <c r="G585" s="85"/>
      <c r="H585" s="85"/>
    </row>
    <row r="586" spans="1:8">
      <c r="A586" s="24">
        <f>E579</f>
        <v>13.5</v>
      </c>
      <c r="B586" s="24" t="s">
        <v>826</v>
      </c>
      <c r="C586" s="22" t="s">
        <v>4368</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4369</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4499</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4049</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4355</v>
      </c>
      <c r="D598" s="24"/>
      <c r="E598" s="25"/>
      <c r="F598" s="24"/>
      <c r="G598" s="85"/>
      <c r="H598" s="85"/>
    </row>
    <row r="599" spans="1:8" ht="18">
      <c r="A599" s="24"/>
      <c r="B599" s="24"/>
      <c r="C599" s="40" t="s">
        <v>4500</v>
      </c>
      <c r="D599" s="24"/>
      <c r="E599" s="25"/>
      <c r="F599" s="24"/>
      <c r="G599" s="85"/>
      <c r="H599" s="85"/>
    </row>
    <row r="600" spans="1:8">
      <c r="A600" s="24"/>
      <c r="B600" s="24"/>
      <c r="C600" s="29" t="s">
        <v>1586</v>
      </c>
      <c r="D600" s="24"/>
      <c r="E600" s="25"/>
      <c r="F600" s="24"/>
      <c r="G600" s="85"/>
      <c r="H600" s="85"/>
    </row>
    <row r="601" spans="1:8">
      <c r="A601" s="24"/>
      <c r="B601" s="24"/>
      <c r="C601" s="22" t="s">
        <v>4357</v>
      </c>
      <c r="F601" t="s">
        <v>2151</v>
      </c>
      <c r="G601" s="85"/>
      <c r="H601" s="85"/>
    </row>
    <row r="602" spans="1:8">
      <c r="A602" s="24"/>
      <c r="B602" s="24"/>
      <c r="C602" s="34" t="s">
        <v>4501</v>
      </c>
      <c r="D602" s="85"/>
      <c r="E602" s="42">
        <f>2*2*1.9*0.075*0.0375</f>
        <v>2.1399999999999999E-2</v>
      </c>
      <c r="F602" s="24" t="s">
        <v>2151</v>
      </c>
      <c r="G602" s="85"/>
      <c r="H602" s="85"/>
    </row>
    <row r="603" spans="1:8">
      <c r="A603" s="24"/>
      <c r="B603" s="24"/>
      <c r="C603" s="28" t="s">
        <v>4502</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4503</v>
      </c>
      <c r="D608" s="43"/>
      <c r="E608" s="41">
        <f>2*1.9*0.5</f>
        <v>1.9</v>
      </c>
      <c r="F608" t="s">
        <v>609</v>
      </c>
      <c r="G608" s="85"/>
      <c r="H608" s="85"/>
    </row>
    <row r="609" spans="1:8">
      <c r="A609" s="24"/>
      <c r="B609" s="24"/>
      <c r="C609" s="28"/>
      <c r="D609" s="43"/>
      <c r="E609" s="41"/>
      <c r="F609" s="32"/>
      <c r="G609" s="85"/>
      <c r="H609" s="85"/>
    </row>
    <row r="610" spans="1:8">
      <c r="A610" s="24"/>
      <c r="B610" s="24"/>
      <c r="C610" s="28" t="s">
        <v>4361</v>
      </c>
      <c r="D610" s="43"/>
      <c r="E610" s="41"/>
      <c r="F610" s="32"/>
      <c r="G610" s="85"/>
      <c r="H610" s="85"/>
    </row>
    <row r="611" spans="1:8">
      <c r="A611" s="24"/>
      <c r="B611" s="24"/>
      <c r="C611" s="28" t="s">
        <v>4504</v>
      </c>
      <c r="D611" s="43"/>
      <c r="E611" s="42">
        <f>2*1.775*0.375</f>
        <v>1.3312999999999999</v>
      </c>
      <c r="F611" s="32" t="str">
        <f>F608</f>
        <v>SQM</v>
      </c>
      <c r="G611" s="85"/>
      <c r="H611" s="85"/>
    </row>
    <row r="612" spans="1:8">
      <c r="A612" s="24"/>
      <c r="B612" s="24"/>
      <c r="C612" s="28" t="s">
        <v>4505</v>
      </c>
      <c r="D612" s="24"/>
      <c r="E612" s="42"/>
      <c r="F612" s="34"/>
      <c r="G612" s="85"/>
      <c r="H612" s="85"/>
    </row>
    <row r="613" spans="1:8">
      <c r="A613" s="33"/>
      <c r="B613" s="24"/>
      <c r="C613" s="28" t="s">
        <v>4506</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4365</v>
      </c>
      <c r="D615" s="104"/>
      <c r="E615" s="25"/>
      <c r="F615" s="24"/>
      <c r="G615" s="85"/>
      <c r="H615" s="85"/>
    </row>
    <row r="616" spans="1:8">
      <c r="A616" s="32"/>
      <c r="B616" s="24"/>
      <c r="C616" s="31"/>
      <c r="D616" s="85"/>
      <c r="E616" s="24"/>
      <c r="F616" s="25"/>
      <c r="G616" s="85"/>
      <c r="H616" s="85"/>
    </row>
    <row r="617" spans="1:8">
      <c r="A617" s="33"/>
      <c r="B617" s="24"/>
      <c r="C617" s="22" t="s">
        <v>4366</v>
      </c>
      <c r="D617" s="85"/>
      <c r="E617" s="24"/>
      <c r="F617" s="25"/>
      <c r="G617" s="85"/>
      <c r="H617" s="85"/>
    </row>
    <row r="618" spans="1:8">
      <c r="A618" s="32">
        <f>E605</f>
        <v>2.7E-2</v>
      </c>
      <c r="B618" s="25" t="s">
        <v>869</v>
      </c>
      <c r="C618" s="28" t="s">
        <v>4367</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4361</v>
      </c>
      <c r="D620" s="24">
        <f t="shared" si="21"/>
        <v>208.8</v>
      </c>
      <c r="E620" t="s">
        <v>609</v>
      </c>
      <c r="F620" s="24">
        <f t="shared" si="22"/>
        <v>277.98</v>
      </c>
      <c r="G620" s="85"/>
      <c r="H620" s="85"/>
    </row>
    <row r="621" spans="1:8">
      <c r="A621" s="24">
        <f>E614</f>
        <v>8.6</v>
      </c>
      <c r="B621" s="24" t="s">
        <v>826</v>
      </c>
      <c r="C621" s="22" t="s">
        <v>4368</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4369</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4507</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4049</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4355</v>
      </c>
      <c r="D634" s="24"/>
      <c r="E634" s="25"/>
      <c r="F634" s="24"/>
      <c r="G634" s="85"/>
      <c r="H634" s="85"/>
    </row>
    <row r="635" spans="1:8" ht="18">
      <c r="A635" s="24"/>
      <c r="B635" s="24"/>
      <c r="C635" s="40" t="s">
        <v>4508</v>
      </c>
      <c r="D635" s="24"/>
      <c r="E635" s="25"/>
      <c r="F635" s="24"/>
      <c r="G635" s="85"/>
      <c r="H635" s="85"/>
    </row>
    <row r="636" spans="1:8">
      <c r="A636" s="24"/>
      <c r="B636" s="24"/>
      <c r="C636" s="29" t="s">
        <v>1586</v>
      </c>
      <c r="D636" s="24"/>
      <c r="E636" s="25"/>
      <c r="F636" s="24"/>
      <c r="G636" s="85"/>
      <c r="H636" s="85"/>
    </row>
    <row r="637" spans="1:8">
      <c r="A637" s="24"/>
      <c r="B637" s="24"/>
      <c r="C637" s="22" t="s">
        <v>4357</v>
      </c>
      <c r="F637" t="s">
        <v>2151</v>
      </c>
      <c r="G637" s="85"/>
      <c r="H637" s="85"/>
    </row>
    <row r="638" spans="1:8">
      <c r="A638" s="24"/>
      <c r="B638" s="24"/>
      <c r="C638" s="34" t="s">
        <v>4509</v>
      </c>
      <c r="D638" s="85"/>
      <c r="E638" s="42">
        <f>2*2*1.9*0.075*0.0375</f>
        <v>2.1399999999999999E-2</v>
      </c>
      <c r="F638" s="24" t="s">
        <v>2151</v>
      </c>
      <c r="G638" s="85"/>
      <c r="H638" s="85"/>
    </row>
    <row r="639" spans="1:8">
      <c r="A639" s="24"/>
      <c r="B639" s="24"/>
      <c r="C639" s="28" t="s">
        <v>4510</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4511</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4361</v>
      </c>
      <c r="D646" s="43"/>
      <c r="E646" s="41"/>
      <c r="F646" s="32"/>
      <c r="G646" s="85"/>
      <c r="H646" s="85"/>
    </row>
    <row r="647" spans="1:8">
      <c r="A647" s="24"/>
      <c r="B647" s="24"/>
      <c r="C647" s="28" t="s">
        <v>4512</v>
      </c>
      <c r="D647" s="43"/>
      <c r="E647" s="42">
        <f>1*1.775*0.525</f>
        <v>0.93189999999999995</v>
      </c>
      <c r="F647" s="32" t="str">
        <f>F644</f>
        <v>SQM</v>
      </c>
      <c r="G647" s="85"/>
      <c r="H647" s="85"/>
    </row>
    <row r="648" spans="1:8">
      <c r="A648" s="24"/>
      <c r="B648" s="24"/>
      <c r="C648" s="28" t="s">
        <v>4363</v>
      </c>
      <c r="D648" s="24"/>
      <c r="E648" s="42"/>
      <c r="F648" s="34"/>
      <c r="G648" s="85"/>
      <c r="H648" s="85"/>
    </row>
    <row r="649" spans="1:8">
      <c r="A649" s="33"/>
      <c r="B649" s="24"/>
      <c r="C649" s="28" t="s">
        <v>4513</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4365</v>
      </c>
      <c r="D651" s="104"/>
      <c r="E651" s="25"/>
      <c r="F651" s="24"/>
      <c r="G651" s="85"/>
      <c r="H651" s="85"/>
    </row>
    <row r="652" spans="1:8">
      <c r="A652" s="32"/>
      <c r="B652" s="24"/>
      <c r="C652" s="31"/>
      <c r="D652" s="85"/>
      <c r="E652" s="24"/>
      <c r="F652" s="25"/>
      <c r="G652" s="85"/>
      <c r="H652" s="85"/>
    </row>
    <row r="653" spans="1:8">
      <c r="A653" s="33"/>
      <c r="B653" s="24"/>
      <c r="C653" s="22" t="s">
        <v>4366</v>
      </c>
      <c r="D653" s="85"/>
      <c r="E653" s="24"/>
      <c r="F653" s="25"/>
      <c r="G653" s="85"/>
      <c r="H653" s="85"/>
    </row>
    <row r="654" spans="1:8">
      <c r="A654" s="32">
        <f>E641</f>
        <v>2.5100000000000001E-2</v>
      </c>
      <c r="B654" s="25" t="s">
        <v>869</v>
      </c>
      <c r="C654" s="28" t="s">
        <v>4367</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4361</v>
      </c>
      <c r="D656" s="24">
        <f t="shared" si="23"/>
        <v>208.8</v>
      </c>
      <c r="E656" t="s">
        <v>609</v>
      </c>
      <c r="F656" s="24">
        <f t="shared" si="24"/>
        <v>194.58</v>
      </c>
      <c r="G656" s="85"/>
      <c r="H656" s="85"/>
    </row>
    <row r="657" spans="1:8">
      <c r="A657" s="24">
        <f>E650</f>
        <v>4.5999999999999996</v>
      </c>
      <c r="B657" s="24" t="s">
        <v>826</v>
      </c>
      <c r="C657" s="22" t="s">
        <v>4368</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4369</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4514</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4049</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4355</v>
      </c>
      <c r="D670" s="24"/>
      <c r="E670" s="25"/>
      <c r="F670" s="24"/>
      <c r="G670" s="85"/>
      <c r="H670" s="85"/>
    </row>
    <row r="671" spans="1:8" ht="18">
      <c r="A671" s="24"/>
      <c r="B671" s="24"/>
      <c r="C671" s="40" t="s">
        <v>4515</v>
      </c>
      <c r="D671" s="24"/>
      <c r="E671" s="25"/>
      <c r="F671" s="24"/>
      <c r="G671" s="85"/>
      <c r="H671" s="85"/>
    </row>
    <row r="672" spans="1:8">
      <c r="A672" s="24"/>
      <c r="B672" s="24"/>
      <c r="C672" s="29" t="s">
        <v>1586</v>
      </c>
      <c r="D672" s="24"/>
      <c r="E672" s="25"/>
      <c r="F672" s="24"/>
      <c r="G672" s="85"/>
      <c r="H672" s="85"/>
    </row>
    <row r="673" spans="1:8">
      <c r="A673" s="24"/>
      <c r="B673" s="24"/>
      <c r="C673" s="22" t="s">
        <v>4357</v>
      </c>
      <c r="F673" t="s">
        <v>2151</v>
      </c>
      <c r="G673" s="85"/>
      <c r="H673" s="85"/>
    </row>
    <row r="674" spans="1:8">
      <c r="A674" s="24"/>
      <c r="B674" s="24"/>
      <c r="C674" s="34" t="s">
        <v>4509</v>
      </c>
      <c r="D674" s="85"/>
      <c r="E674" s="42">
        <f>2*2*1.9*0.075*0.0375</f>
        <v>2.1399999999999999E-2</v>
      </c>
      <c r="F674" s="24" t="s">
        <v>2151</v>
      </c>
      <c r="G674" s="85"/>
      <c r="H674" s="85"/>
    </row>
    <row r="675" spans="1:8">
      <c r="A675" s="24"/>
      <c r="B675" s="24"/>
      <c r="C675" s="28" t="s">
        <v>4516</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4517</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4361</v>
      </c>
      <c r="D682" s="43"/>
      <c r="E682" s="41"/>
      <c r="F682" s="32"/>
      <c r="G682" s="85"/>
      <c r="H682" s="85"/>
    </row>
    <row r="683" spans="1:8">
      <c r="A683" s="24"/>
      <c r="B683" s="24"/>
      <c r="C683" s="28" t="s">
        <v>4518</v>
      </c>
      <c r="D683" s="43"/>
      <c r="E683" s="42">
        <f>1*1.775*0.345</f>
        <v>0.61240000000000006</v>
      </c>
      <c r="F683" s="32" t="str">
        <f>F680</f>
        <v>SQM</v>
      </c>
      <c r="H683" s="85"/>
    </row>
    <row r="684" spans="1:8">
      <c r="A684" s="24"/>
      <c r="B684" s="24"/>
      <c r="C684" s="28" t="s">
        <v>4363</v>
      </c>
      <c r="D684" s="24"/>
      <c r="E684" s="42"/>
      <c r="F684" s="34"/>
      <c r="H684" s="85"/>
    </row>
    <row r="685" spans="1:8">
      <c r="A685" s="33"/>
      <c r="B685" s="24"/>
      <c r="C685" s="28" t="s">
        <v>4519</v>
      </c>
      <c r="D685" s="43"/>
      <c r="E685" s="103">
        <f>1.775+0.345</f>
        <v>2.12</v>
      </c>
      <c r="F685" s="32"/>
      <c r="H685" s="85"/>
    </row>
    <row r="686" spans="1:8">
      <c r="A686" s="33"/>
      <c r="B686" s="24"/>
      <c r="C686" s="24"/>
      <c r="D686" s="104"/>
      <c r="E686" s="30">
        <f>E685*2</f>
        <v>4.24</v>
      </c>
      <c r="F686" s="24" t="s">
        <v>826</v>
      </c>
      <c r="H686" s="85"/>
    </row>
    <row r="687" spans="1:8">
      <c r="A687" s="33"/>
      <c r="B687" s="24"/>
      <c r="C687" s="113" t="s">
        <v>4365</v>
      </c>
      <c r="D687" s="104"/>
      <c r="E687" s="25"/>
      <c r="F687" s="24"/>
      <c r="H687" s="85"/>
    </row>
    <row r="688" spans="1:8">
      <c r="A688" s="32"/>
      <c r="B688" s="24"/>
      <c r="C688" s="31"/>
      <c r="D688" s="85"/>
      <c r="E688" s="24"/>
      <c r="F688" s="25"/>
      <c r="H688" s="85"/>
    </row>
    <row r="689" spans="1:8">
      <c r="A689" s="33"/>
      <c r="B689" s="24"/>
      <c r="C689" s="22" t="s">
        <v>4366</v>
      </c>
      <c r="D689" s="85"/>
      <c r="E689" s="24"/>
      <c r="F689" s="25"/>
      <c r="H689" s="85"/>
    </row>
    <row r="690" spans="1:8">
      <c r="A690" s="32">
        <f>E677</f>
        <v>2.4E-2</v>
      </c>
      <c r="B690" s="25" t="s">
        <v>869</v>
      </c>
      <c r="C690" s="28" t="s">
        <v>4367</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4361</v>
      </c>
      <c r="D692" s="24">
        <f t="shared" si="25"/>
        <v>208.8</v>
      </c>
      <c r="E692" t="s">
        <v>609</v>
      </c>
      <c r="F692" s="24">
        <f t="shared" si="26"/>
        <v>127.87</v>
      </c>
      <c r="H692" s="85"/>
    </row>
    <row r="693" spans="1:8">
      <c r="A693" s="24">
        <f>E686</f>
        <v>4.24</v>
      </c>
      <c r="B693" s="24" t="s">
        <v>826</v>
      </c>
      <c r="C693" s="22" t="s">
        <v>4368</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4369</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4520</v>
      </c>
      <c r="D700" s="85"/>
      <c r="E700" s="25"/>
      <c r="F700" s="26">
        <f>SUM(F690:F699)</f>
        <v>3316.61</v>
      </c>
      <c r="H700" s="85"/>
    </row>
    <row r="701" spans="1:8">
      <c r="A701" s="24"/>
      <c r="B701" s="24"/>
      <c r="C701" s="85"/>
      <c r="D701" s="24"/>
      <c r="E701" s="25"/>
      <c r="F701" s="29" t="s">
        <v>1586</v>
      </c>
      <c r="H701" s="85"/>
    </row>
    <row r="702" spans="1:8">
      <c r="A702" s="24"/>
      <c r="B702" s="24"/>
      <c r="C702" s="26" t="s">
        <v>4049</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S28" transitionEvaluation="1">
    <tabColor rgb="FF00B050"/>
  </sheetPr>
  <dimension ref="A1:IS8558"/>
  <sheetViews>
    <sheetView view="pageBreakPreview" topLeftCell="S28" zoomScale="70" zoomScaleNormal="75" zoomScaleSheetLayoutView="70" workbookViewId="0">
      <selection activeCell="Z53" sqref="Z53"/>
    </sheetView>
  </sheetViews>
  <sheetFormatPr defaultColWidth="7.44140625" defaultRowHeight="20.25"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8.44140625" style="252" customWidth="1"/>
    <col min="8" max="8" width="31.33203125" style="252" customWidth="1"/>
    <col min="9" max="9" width="9.77734375" style="252" customWidth="1"/>
    <col min="10" max="10" width="7.88671875" style="296" customWidth="1"/>
    <col min="11" max="11" width="9.2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0.25" customHeight="1">
      <c r="A1" s="296"/>
      <c r="B1" s="253" t="s">
        <v>6069</v>
      </c>
      <c r="E1" s="296" t="s">
        <v>975</v>
      </c>
      <c r="H1" s="276" t="s">
        <v>248</v>
      </c>
      <c r="O1" s="296" t="s">
        <v>248</v>
      </c>
      <c r="T1" s="253"/>
      <c r="U1" s="357" t="s">
        <v>2054</v>
      </c>
      <c r="V1" s="357"/>
      <c r="W1" s="253" t="s">
        <v>975</v>
      </c>
      <c r="X1" s="253"/>
      <c r="Y1" s="253"/>
      <c r="Z1" s="253"/>
      <c r="AA1" s="253"/>
      <c r="AB1" s="253"/>
      <c r="AC1" s="253"/>
      <c r="AD1" s="253"/>
      <c r="AE1" s="253"/>
    </row>
    <row r="2" spans="1:37" ht="20.25" customHeight="1">
      <c r="B2" s="358" t="s">
        <v>2055</v>
      </c>
      <c r="E2" s="296" t="s">
        <v>975</v>
      </c>
      <c r="H2" s="253" t="s">
        <v>652</v>
      </c>
      <c r="O2" s="253" t="s">
        <v>652</v>
      </c>
      <c r="U2" s="1166" t="s">
        <v>327</v>
      </c>
      <c r="V2" s="1165"/>
      <c r="W2" s="1165"/>
      <c r="X2" s="1165"/>
    </row>
    <row r="3" spans="1:37" ht="20.25" customHeight="1">
      <c r="A3" s="296" t="s">
        <v>1585</v>
      </c>
      <c r="B3" s="359" t="s">
        <v>6375</v>
      </c>
      <c r="C3" s="296" t="s">
        <v>6547</v>
      </c>
      <c r="E3" s="296" t="s">
        <v>975</v>
      </c>
      <c r="F3" s="360" t="s">
        <v>1585</v>
      </c>
      <c r="G3" s="252" t="s">
        <v>975</v>
      </c>
      <c r="H3" s="274" t="str">
        <f>B3</f>
        <v>ARUMANAI</v>
      </c>
      <c r="J3" s="276" t="str">
        <f>C3</f>
        <v>2023-2024</v>
      </c>
      <c r="M3" s="296" t="s">
        <v>1585</v>
      </c>
      <c r="N3" s="296" t="s">
        <v>975</v>
      </c>
      <c r="O3" s="252" t="str">
        <f>B3</f>
        <v>ARUMANAI</v>
      </c>
      <c r="Q3" s="252" t="str">
        <f>C3</f>
        <v>2023-2024</v>
      </c>
      <c r="T3" s="513" t="s">
        <v>1585</v>
      </c>
      <c r="U3" s="461" t="s">
        <v>6546</v>
      </c>
      <c r="V3" s="512"/>
      <c r="W3" s="469" t="str">
        <f>C3</f>
        <v>2023-2024</v>
      </c>
      <c r="X3" s="512"/>
      <c r="Y3" s="512"/>
      <c r="Z3" s="512"/>
      <c r="AA3" s="513"/>
      <c r="AB3" s="512"/>
      <c r="AC3" s="512"/>
      <c r="AD3" s="512"/>
      <c r="AE3" s="512"/>
    </row>
    <row r="4" spans="1:37" ht="20.25"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12"/>
      <c r="U4" s="513" t="s">
        <v>975</v>
      </c>
      <c r="V4" s="512"/>
      <c r="W4" s="520" t="s">
        <v>975</v>
      </c>
      <c r="X4" s="513" t="s">
        <v>249</v>
      </c>
      <c r="Y4" s="513"/>
      <c r="Z4" s="512"/>
      <c r="AA4" s="512"/>
      <c r="AB4" s="512"/>
      <c r="AC4" s="513" t="s">
        <v>975</v>
      </c>
      <c r="AD4" s="512"/>
      <c r="AE4" s="512"/>
      <c r="AG4" s="296" t="s">
        <v>1587</v>
      </c>
    </row>
    <row r="5" spans="1:37" ht="20.25"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14" t="s">
        <v>1586</v>
      </c>
      <c r="U5" s="514" t="s">
        <v>1586</v>
      </c>
      <c r="V5" s="514" t="s">
        <v>1586</v>
      </c>
      <c r="W5" s="514" t="s">
        <v>1586</v>
      </c>
      <c r="X5" s="514" t="s">
        <v>1586</v>
      </c>
      <c r="Y5" s="514" t="s">
        <v>1586</v>
      </c>
      <c r="Z5" s="514" t="s">
        <v>1586</v>
      </c>
      <c r="AA5" s="514" t="s">
        <v>1586</v>
      </c>
      <c r="AB5" s="514" t="s">
        <v>1586</v>
      </c>
      <c r="AC5" s="514" t="s">
        <v>1586</v>
      </c>
      <c r="AD5" s="514" t="s">
        <v>1586</v>
      </c>
      <c r="AE5" s="514" t="s">
        <v>1586</v>
      </c>
    </row>
    <row r="6" spans="1:37" ht="20.25"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20" t="s">
        <v>694</v>
      </c>
      <c r="U6" s="520" t="s">
        <v>55</v>
      </c>
      <c r="V6" s="520" t="s">
        <v>2243</v>
      </c>
      <c r="W6" s="520" t="s">
        <v>2244</v>
      </c>
      <c r="X6" s="520" t="s">
        <v>2245</v>
      </c>
      <c r="Y6" s="520" t="s">
        <v>2246</v>
      </c>
      <c r="Z6" s="520" t="s">
        <v>2247</v>
      </c>
      <c r="AA6" s="929" t="s">
        <v>1082</v>
      </c>
      <c r="AB6" s="513" t="s">
        <v>2248</v>
      </c>
      <c r="AC6" s="513" t="s">
        <v>2249</v>
      </c>
      <c r="AD6" s="520" t="s">
        <v>2250</v>
      </c>
      <c r="AE6" s="512"/>
    </row>
    <row r="7" spans="1:37" ht="20.25" customHeight="1">
      <c r="A7" s="358" t="s">
        <v>1586</v>
      </c>
      <c r="B7" s="358" t="s">
        <v>1586</v>
      </c>
      <c r="C7" s="358" t="s">
        <v>1586</v>
      </c>
      <c r="D7" s="358" t="s">
        <v>1586</v>
      </c>
      <c r="G7" s="252" t="s">
        <v>2251</v>
      </c>
      <c r="H7" s="296" t="s">
        <v>2252</v>
      </c>
      <c r="O7" s="296" t="s">
        <v>2253</v>
      </c>
      <c r="T7" s="512"/>
      <c r="U7" s="512"/>
      <c r="V7" s="512"/>
      <c r="W7" s="520"/>
      <c r="X7" s="520" t="s">
        <v>2254</v>
      </c>
      <c r="Y7" s="520" t="s">
        <v>2249</v>
      </c>
      <c r="Z7" s="520" t="s">
        <v>2255</v>
      </c>
      <c r="AA7" s="929" t="s">
        <v>976</v>
      </c>
      <c r="AB7" s="513" t="s">
        <v>2256</v>
      </c>
      <c r="AC7" s="513" t="s">
        <v>2257</v>
      </c>
      <c r="AD7" s="512"/>
      <c r="AE7" s="930"/>
    </row>
    <row r="8" spans="1:37" ht="20.25" customHeight="1">
      <c r="B8" s="296" t="s">
        <v>2258</v>
      </c>
      <c r="H8" s="358" t="s">
        <v>1586</v>
      </c>
      <c r="O8" s="358" t="s">
        <v>1586</v>
      </c>
      <c r="T8" s="514" t="s">
        <v>1586</v>
      </c>
      <c r="U8" s="514" t="s">
        <v>1586</v>
      </c>
      <c r="V8" s="514" t="s">
        <v>1586</v>
      </c>
      <c r="W8" s="514" t="s">
        <v>1586</v>
      </c>
      <c r="X8" s="514" t="s">
        <v>1586</v>
      </c>
      <c r="Y8" s="514" t="s">
        <v>1586</v>
      </c>
      <c r="Z8" s="514" t="s">
        <v>1586</v>
      </c>
      <c r="AA8" s="931" t="s">
        <v>1083</v>
      </c>
      <c r="AB8" s="514" t="s">
        <v>1586</v>
      </c>
      <c r="AC8" s="514" t="s">
        <v>1586</v>
      </c>
      <c r="AD8" s="514" t="s">
        <v>1586</v>
      </c>
      <c r="AE8" s="514" t="s">
        <v>1586</v>
      </c>
      <c r="AG8" s="361" t="s">
        <v>5962</v>
      </c>
      <c r="AH8" s="361" t="s">
        <v>922</v>
      </c>
      <c r="AI8" s="361" t="s">
        <v>923</v>
      </c>
      <c r="AJ8" s="361" t="s">
        <v>924</v>
      </c>
      <c r="AK8" s="361" t="s">
        <v>1853</v>
      </c>
    </row>
    <row r="9" spans="1:37" ht="20.25" customHeight="1">
      <c r="B9" s="296" t="s">
        <v>860</v>
      </c>
      <c r="F9" s="252">
        <v>0.96</v>
      </c>
      <c r="G9" s="252" t="s">
        <v>861</v>
      </c>
      <c r="H9" s="296" t="s">
        <v>862</v>
      </c>
      <c r="I9" s="252">
        <f>(C67)</f>
        <v>6040</v>
      </c>
      <c r="J9" s="296" t="s">
        <v>861</v>
      </c>
      <c r="K9" s="252">
        <f>(F9*I9)</f>
        <v>5798.4</v>
      </c>
      <c r="M9" s="252">
        <v>0.5</v>
      </c>
      <c r="N9" s="296" t="s">
        <v>861</v>
      </c>
      <c r="O9" s="296" t="s">
        <v>863</v>
      </c>
      <c r="P9" s="252">
        <f>(C85)</f>
        <v>1016.97</v>
      </c>
      <c r="Q9" s="296" t="s">
        <v>861</v>
      </c>
      <c r="R9" s="252">
        <f>(M9*P9)</f>
        <v>508.49</v>
      </c>
      <c r="T9" s="520" t="s">
        <v>864</v>
      </c>
      <c r="U9" s="513" t="s">
        <v>5802</v>
      </c>
      <c r="V9" s="513" t="s">
        <v>866</v>
      </c>
      <c r="W9" s="520" t="s">
        <v>6549</v>
      </c>
      <c r="X9" s="512">
        <f>'lead  charge'!D12</f>
        <v>32</v>
      </c>
      <c r="Y9" s="598">
        <v>449.4</v>
      </c>
      <c r="Z9" s="932">
        <f>'lead  charge'!E12</f>
        <v>318.94</v>
      </c>
      <c r="AA9" s="520"/>
      <c r="AB9" s="513">
        <v>0</v>
      </c>
      <c r="AC9" s="513">
        <f>SUM(Y9+Z9+AA9+AB9)</f>
        <v>768.34</v>
      </c>
      <c r="AD9" s="513" t="s">
        <v>6007</v>
      </c>
      <c r="AE9" s="512">
        <f>AF9</f>
        <v>999</v>
      </c>
      <c r="AF9" s="362">
        <v>999</v>
      </c>
      <c r="AG9" s="252">
        <f>AF9*1.1</f>
        <v>1098.9000000000001</v>
      </c>
      <c r="AH9" s="252">
        <f>AF9*1.2</f>
        <v>1198.8</v>
      </c>
      <c r="AI9" s="252">
        <f>AF9*1.5</f>
        <v>1498.5</v>
      </c>
      <c r="AJ9" s="252">
        <f>AF9*1.05</f>
        <v>1048.95</v>
      </c>
      <c r="AK9" s="252">
        <f>AF9*1.25</f>
        <v>1248.75</v>
      </c>
    </row>
    <row r="10" spans="1:37" ht="20.25" customHeight="1">
      <c r="A10" s="363">
        <v>1</v>
      </c>
      <c r="B10" s="296" t="s">
        <v>867</v>
      </c>
      <c r="C10" s="364">
        <f>AE9</f>
        <v>999</v>
      </c>
      <c r="D10" s="365" t="s">
        <v>868</v>
      </c>
      <c r="F10" s="252">
        <v>1</v>
      </c>
      <c r="G10" s="252" t="s">
        <v>869</v>
      </c>
      <c r="H10" s="296" t="s">
        <v>870</v>
      </c>
      <c r="I10" s="252">
        <f>(C78)</f>
        <v>1741.58</v>
      </c>
      <c r="J10" s="296" t="s">
        <v>869</v>
      </c>
      <c r="K10" s="252">
        <f>(F10*I10)</f>
        <v>1741.58</v>
      </c>
      <c r="M10" s="252">
        <v>1</v>
      </c>
      <c r="N10" s="296" t="s">
        <v>869</v>
      </c>
      <c r="O10" s="296" t="s">
        <v>870</v>
      </c>
      <c r="P10" s="252">
        <f>(C78)</f>
        <v>1741.58</v>
      </c>
      <c r="Q10" s="296" t="s">
        <v>869</v>
      </c>
      <c r="R10" s="252">
        <f>(M10*P10)</f>
        <v>1741.58</v>
      </c>
      <c r="T10" s="520" t="s">
        <v>871</v>
      </c>
      <c r="U10" s="513" t="s">
        <v>5803</v>
      </c>
      <c r="V10" s="513" t="s">
        <v>866</v>
      </c>
      <c r="W10" s="520" t="str">
        <f t="shared" ref="W10:W15" si="0">W9</f>
        <v>Uchimalaikuppam</v>
      </c>
      <c r="X10" s="512">
        <f>'lead  charge'!D12</f>
        <v>32</v>
      </c>
      <c r="Y10" s="598">
        <v>648.4</v>
      </c>
      <c r="Z10" s="932">
        <f>Z9</f>
        <v>318.94</v>
      </c>
      <c r="AA10" s="520"/>
      <c r="AB10" s="513">
        <v>0</v>
      </c>
      <c r="AC10" s="513">
        <f t="shared" ref="AC10:AC36" si="1">SUM(Y10+Z10+AA10+AB10)</f>
        <v>967.34</v>
      </c>
      <c r="AD10" s="513" t="s">
        <v>6008</v>
      </c>
      <c r="AE10" s="51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0.25"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20" t="s">
        <v>876</v>
      </c>
      <c r="U11" s="513" t="s">
        <v>5804</v>
      </c>
      <c r="V11" s="513" t="s">
        <v>866</v>
      </c>
      <c r="W11" s="520" t="str">
        <f t="shared" si="0"/>
        <v>Uchimalaikuppam</v>
      </c>
      <c r="X11" s="512">
        <f>'lead  charge'!D10:D10</f>
        <v>32</v>
      </c>
      <c r="Y11" s="598">
        <v>773.67</v>
      </c>
      <c r="Z11" s="932">
        <f>'lead  charge'!E10</f>
        <v>318.94</v>
      </c>
      <c r="AA11" s="520"/>
      <c r="AB11" s="513">
        <v>0</v>
      </c>
      <c r="AC11" s="513">
        <f t="shared" si="1"/>
        <v>1092.6099999999999</v>
      </c>
      <c r="AD11" s="513" t="s">
        <v>6011</v>
      </c>
      <c r="AE11" s="512">
        <f t="shared" si="2"/>
        <v>651</v>
      </c>
      <c r="AF11" s="362">
        <v>651</v>
      </c>
      <c r="AG11" s="252">
        <f t="shared" si="3"/>
        <v>716.1</v>
      </c>
      <c r="AH11" s="252">
        <f t="shared" si="4"/>
        <v>781.2</v>
      </c>
      <c r="AI11" s="252">
        <f t="shared" si="5"/>
        <v>976.5</v>
      </c>
      <c r="AJ11" s="252">
        <f t="shared" si="6"/>
        <v>683.55</v>
      </c>
      <c r="AK11" s="252">
        <f t="shared" si="7"/>
        <v>813.75</v>
      </c>
    </row>
    <row r="12" spans="1:37" ht="20.25"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20" t="s">
        <v>451</v>
      </c>
      <c r="U12" s="513" t="s">
        <v>1509</v>
      </c>
      <c r="V12" s="513" t="s">
        <v>866</v>
      </c>
      <c r="W12" s="520" t="str">
        <f t="shared" si="0"/>
        <v>Uchimalaikuppam</v>
      </c>
      <c r="X12" s="512">
        <f>X11</f>
        <v>32</v>
      </c>
      <c r="Y12" s="598">
        <v>1016</v>
      </c>
      <c r="Z12" s="932">
        <f>Z11</f>
        <v>318.94</v>
      </c>
      <c r="AA12" s="520"/>
      <c r="AB12" s="513">
        <v>0</v>
      </c>
      <c r="AC12" s="513">
        <f t="shared" si="1"/>
        <v>1334.94</v>
      </c>
      <c r="AD12" s="513" t="s">
        <v>6012</v>
      </c>
      <c r="AE12" s="512">
        <f t="shared" si="2"/>
        <v>534</v>
      </c>
      <c r="AF12" s="362">
        <v>534</v>
      </c>
      <c r="AG12" s="252">
        <f t="shared" si="3"/>
        <v>587.4</v>
      </c>
      <c r="AH12" s="252">
        <f t="shared" si="4"/>
        <v>640.79999999999995</v>
      </c>
      <c r="AI12" s="252">
        <f t="shared" si="5"/>
        <v>801</v>
      </c>
      <c r="AJ12" s="252">
        <f t="shared" si="6"/>
        <v>560.70000000000005</v>
      </c>
      <c r="AK12" s="252">
        <f t="shared" si="7"/>
        <v>667.5</v>
      </c>
    </row>
    <row r="13" spans="1:37" ht="20.25" customHeight="1">
      <c r="A13" s="363">
        <f t="shared" si="8"/>
        <v>4</v>
      </c>
      <c r="B13" s="296" t="s">
        <v>1511</v>
      </c>
      <c r="C13" s="364">
        <f>AE12</f>
        <v>534</v>
      </c>
      <c r="D13" s="365" t="s">
        <v>868</v>
      </c>
      <c r="K13" s="358" t="s">
        <v>1586</v>
      </c>
      <c r="R13" s="358" t="s">
        <v>1586</v>
      </c>
      <c r="T13" s="520" t="s">
        <v>1512</v>
      </c>
      <c r="U13" s="513" t="s">
        <v>1513</v>
      </c>
      <c r="V13" s="513" t="s">
        <v>866</v>
      </c>
      <c r="W13" s="520" t="str">
        <f t="shared" si="0"/>
        <v>Uchimalaikuppam</v>
      </c>
      <c r="X13" s="512">
        <f>X11</f>
        <v>32</v>
      </c>
      <c r="Y13" s="598">
        <v>1382</v>
      </c>
      <c r="Z13" s="932">
        <f>Z12</f>
        <v>318.94</v>
      </c>
      <c r="AA13" s="520"/>
      <c r="AB13" s="513">
        <v>0</v>
      </c>
      <c r="AC13" s="513">
        <f t="shared" si="1"/>
        <v>1700.94</v>
      </c>
      <c r="AD13" s="513" t="s">
        <v>6009</v>
      </c>
      <c r="AE13" s="512">
        <f t="shared" si="2"/>
        <v>797</v>
      </c>
      <c r="AF13" s="362">
        <v>797</v>
      </c>
      <c r="AG13" s="252">
        <f t="shared" si="3"/>
        <v>876.7</v>
      </c>
      <c r="AH13" s="252">
        <f t="shared" si="4"/>
        <v>956.4</v>
      </c>
      <c r="AI13" s="252">
        <f t="shared" si="5"/>
        <v>1195.5</v>
      </c>
      <c r="AJ13" s="252">
        <f t="shared" si="6"/>
        <v>836.85</v>
      </c>
      <c r="AK13" s="252">
        <f t="shared" si="7"/>
        <v>996.25</v>
      </c>
    </row>
    <row r="14" spans="1:37" ht="20.25" customHeight="1">
      <c r="A14" s="363">
        <f t="shared" si="8"/>
        <v>5</v>
      </c>
      <c r="B14" s="296" t="s">
        <v>1515</v>
      </c>
      <c r="C14" s="364">
        <f>AE13</f>
        <v>797</v>
      </c>
      <c r="D14" s="364">
        <f>AE14</f>
        <v>772</v>
      </c>
      <c r="H14" s="296" t="s">
        <v>1516</v>
      </c>
      <c r="K14" s="274">
        <f>SUM(K9:K12)</f>
        <v>7655.98</v>
      </c>
      <c r="N14" s="252">
        <f>SUM(K9:K12)</f>
        <v>7655.98</v>
      </c>
      <c r="O14" s="296" t="s">
        <v>1516</v>
      </c>
      <c r="R14" s="252">
        <f>SUM(R9:R12)</f>
        <v>2530.67</v>
      </c>
      <c r="T14" s="520" t="s">
        <v>2008</v>
      </c>
      <c r="U14" s="513" t="s">
        <v>112</v>
      </c>
      <c r="V14" s="513" t="s">
        <v>866</v>
      </c>
      <c r="W14" s="520" t="str">
        <f t="shared" si="0"/>
        <v>Uchimalaikuppam</v>
      </c>
      <c r="X14" s="512">
        <f>X11</f>
        <v>32</v>
      </c>
      <c r="Y14" s="598">
        <v>1489</v>
      </c>
      <c r="Z14" s="932">
        <f>Z13</f>
        <v>318.94</v>
      </c>
      <c r="AA14" s="520"/>
      <c r="AB14" s="513">
        <v>0</v>
      </c>
      <c r="AC14" s="513">
        <f t="shared" si="1"/>
        <v>1807.94</v>
      </c>
      <c r="AD14" s="513" t="s">
        <v>6013</v>
      </c>
      <c r="AE14" s="512">
        <f t="shared" si="2"/>
        <v>772</v>
      </c>
      <c r="AF14" s="362">
        <v>772</v>
      </c>
      <c r="AG14" s="252">
        <f t="shared" si="3"/>
        <v>849.2</v>
      </c>
      <c r="AH14" s="252">
        <f t="shared" si="4"/>
        <v>926.4</v>
      </c>
      <c r="AI14" s="252">
        <f t="shared" si="5"/>
        <v>1158</v>
      </c>
      <c r="AJ14" s="252">
        <f t="shared" si="6"/>
        <v>810.6</v>
      </c>
      <c r="AK14" s="252">
        <f t="shared" si="7"/>
        <v>965</v>
      </c>
    </row>
    <row r="15" spans="1:37" ht="20.25" customHeight="1">
      <c r="A15" s="363">
        <f t="shared" si="8"/>
        <v>6</v>
      </c>
      <c r="B15" s="296" t="s">
        <v>114</v>
      </c>
      <c r="C15" s="364">
        <f>AE15</f>
        <v>866</v>
      </c>
      <c r="D15" s="365" t="s">
        <v>868</v>
      </c>
      <c r="K15" s="358" t="s">
        <v>1586</v>
      </c>
      <c r="R15" s="358" t="s">
        <v>1586</v>
      </c>
      <c r="T15" s="520" t="s">
        <v>115</v>
      </c>
      <c r="U15" s="513" t="s">
        <v>116</v>
      </c>
      <c r="V15" s="513" t="s">
        <v>866</v>
      </c>
      <c r="W15" s="520" t="str">
        <f t="shared" si="0"/>
        <v>Uchimalaikuppam</v>
      </c>
      <c r="X15" s="512">
        <f>X11</f>
        <v>32</v>
      </c>
      <c r="Y15" s="598">
        <v>1069.8</v>
      </c>
      <c r="Z15" s="932">
        <f>Z14</f>
        <v>318.94</v>
      </c>
      <c r="AA15" s="520"/>
      <c r="AB15" s="513">
        <v>0</v>
      </c>
      <c r="AC15" s="513">
        <f t="shared" si="1"/>
        <v>1388.74</v>
      </c>
      <c r="AD15" s="513" t="s">
        <v>6010</v>
      </c>
      <c r="AE15" s="512">
        <f t="shared" si="2"/>
        <v>866</v>
      </c>
      <c r="AF15" s="362">
        <v>866</v>
      </c>
      <c r="AG15" s="252">
        <f t="shared" si="3"/>
        <v>952.6</v>
      </c>
      <c r="AH15" s="252">
        <f t="shared" si="4"/>
        <v>1039.2</v>
      </c>
      <c r="AI15" s="252">
        <f t="shared" si="5"/>
        <v>1299</v>
      </c>
      <c r="AJ15" s="252">
        <f t="shared" si="6"/>
        <v>909.3</v>
      </c>
      <c r="AK15" s="252">
        <f t="shared" si="7"/>
        <v>1082.5</v>
      </c>
    </row>
    <row r="16" spans="1:37" ht="20.25" customHeight="1">
      <c r="A16" s="363">
        <f t="shared" si="8"/>
        <v>7</v>
      </c>
      <c r="B16" s="296" t="s">
        <v>118</v>
      </c>
      <c r="C16" s="364">
        <f>AE19</f>
        <v>976</v>
      </c>
      <c r="D16" s="364">
        <f>AE20</f>
        <v>932</v>
      </c>
      <c r="G16" s="252" t="s">
        <v>2251</v>
      </c>
      <c r="H16" s="296" t="s">
        <v>119</v>
      </c>
      <c r="N16" s="296" t="s">
        <v>2251</v>
      </c>
      <c r="O16" s="296" t="s">
        <v>120</v>
      </c>
      <c r="T16" s="520" t="s">
        <v>121</v>
      </c>
      <c r="U16" s="513" t="s">
        <v>4563</v>
      </c>
      <c r="V16" s="513" t="s">
        <v>866</v>
      </c>
      <c r="W16" s="520" t="s">
        <v>6550</v>
      </c>
      <c r="X16" s="512">
        <f>'lead  charge'!D11</f>
        <v>42</v>
      </c>
      <c r="Y16" s="933">
        <v>1338</v>
      </c>
      <c r="Z16" s="932">
        <f>'lead  charge'!E11</f>
        <v>403.58</v>
      </c>
      <c r="AA16" s="520"/>
      <c r="AB16" s="513">
        <v>0</v>
      </c>
      <c r="AC16" s="513">
        <f t="shared" si="1"/>
        <v>1741.58</v>
      </c>
      <c r="AD16" s="513" t="s">
        <v>6014</v>
      </c>
      <c r="AE16" s="512">
        <f t="shared" si="2"/>
        <v>839</v>
      </c>
      <c r="AF16" s="362">
        <v>839</v>
      </c>
      <c r="AG16" s="252">
        <f t="shared" si="3"/>
        <v>922.9</v>
      </c>
      <c r="AH16" s="252">
        <f t="shared" si="4"/>
        <v>1006.8</v>
      </c>
      <c r="AI16" s="252">
        <f t="shared" si="5"/>
        <v>1258.5</v>
      </c>
      <c r="AJ16" s="252">
        <f t="shared" si="6"/>
        <v>880.95</v>
      </c>
      <c r="AK16" s="252">
        <f t="shared" si="7"/>
        <v>1048.75</v>
      </c>
    </row>
    <row r="17" spans="1:37" ht="20.25" customHeight="1">
      <c r="A17" s="363">
        <f t="shared" si="8"/>
        <v>8</v>
      </c>
      <c r="B17" s="296" t="s">
        <v>4017</v>
      </c>
      <c r="C17" s="364">
        <f>AE17</f>
        <v>881</v>
      </c>
      <c r="D17" s="364">
        <f>AE18</f>
        <v>856</v>
      </c>
      <c r="H17" s="358" t="s">
        <v>1586</v>
      </c>
      <c r="O17" s="296" t="s">
        <v>1032</v>
      </c>
      <c r="T17" s="520" t="s">
        <v>1033</v>
      </c>
      <c r="U17" s="513" t="s">
        <v>5805</v>
      </c>
      <c r="V17" s="513" t="s">
        <v>866</v>
      </c>
      <c r="W17" s="520" t="str">
        <f>W16</f>
        <v>Allapanur</v>
      </c>
      <c r="X17" s="512">
        <f>X16</f>
        <v>42</v>
      </c>
      <c r="Y17" s="933">
        <f>Y16</f>
        <v>1338</v>
      </c>
      <c r="Z17" s="932">
        <f>Z16</f>
        <v>403.58</v>
      </c>
      <c r="AA17" s="520"/>
      <c r="AB17" s="513">
        <v>0</v>
      </c>
      <c r="AC17" s="513">
        <f t="shared" si="1"/>
        <v>1741.58</v>
      </c>
      <c r="AD17" s="513" t="s">
        <v>6015</v>
      </c>
      <c r="AE17" s="512">
        <f t="shared" si="2"/>
        <v>881</v>
      </c>
      <c r="AF17" s="362">
        <v>881</v>
      </c>
      <c r="AG17" s="252">
        <f t="shared" si="3"/>
        <v>969.1</v>
      </c>
      <c r="AH17" s="252">
        <f t="shared" si="4"/>
        <v>1057.2</v>
      </c>
      <c r="AI17" s="252">
        <f t="shared" si="5"/>
        <v>1321.5</v>
      </c>
      <c r="AJ17" s="252">
        <f t="shared" si="6"/>
        <v>925.05</v>
      </c>
      <c r="AK17" s="252">
        <f t="shared" si="7"/>
        <v>1101.25</v>
      </c>
    </row>
    <row r="18" spans="1:37" ht="20.25" customHeight="1">
      <c r="A18" s="363">
        <f t="shared" si="8"/>
        <v>9</v>
      </c>
      <c r="B18" s="296" t="s">
        <v>4018</v>
      </c>
      <c r="C18" s="364">
        <f>AE24</f>
        <v>116</v>
      </c>
      <c r="D18" s="365" t="s">
        <v>1037</v>
      </c>
      <c r="F18" s="252">
        <v>0.72</v>
      </c>
      <c r="G18" s="252" t="s">
        <v>861</v>
      </c>
      <c r="H18" s="296" t="s">
        <v>862</v>
      </c>
      <c r="I18" s="252">
        <f>(C67)</f>
        <v>6040</v>
      </c>
      <c r="J18" s="296" t="s">
        <v>861</v>
      </c>
      <c r="K18" s="252">
        <f>(F18*I18)</f>
        <v>4348.8</v>
      </c>
      <c r="O18" s="296" t="s">
        <v>1444</v>
      </c>
      <c r="T18" s="520" t="s">
        <v>1445</v>
      </c>
      <c r="U18" s="513" t="s">
        <v>5806</v>
      </c>
      <c r="V18" s="513" t="s">
        <v>1446</v>
      </c>
      <c r="W18" s="520" t="s">
        <v>6551</v>
      </c>
      <c r="X18" s="512">
        <f>'lead  charge'!G10</f>
        <v>2</v>
      </c>
      <c r="Y18" s="598">
        <v>5709</v>
      </c>
      <c r="Z18" s="932">
        <f>'lead  charge'!H10</f>
        <v>19.64</v>
      </c>
      <c r="AA18" s="520"/>
      <c r="AB18" s="513">
        <v>0</v>
      </c>
      <c r="AC18" s="513">
        <f t="shared" si="1"/>
        <v>5728.64</v>
      </c>
      <c r="AD18" s="513" t="s">
        <v>6016</v>
      </c>
      <c r="AE18" s="512">
        <f t="shared" si="2"/>
        <v>856</v>
      </c>
      <c r="AF18" s="362">
        <v>856</v>
      </c>
      <c r="AG18" s="252">
        <f t="shared" si="3"/>
        <v>941.6</v>
      </c>
      <c r="AH18" s="252">
        <f t="shared" si="4"/>
        <v>1027.2</v>
      </c>
      <c r="AI18" s="252">
        <f t="shared" si="5"/>
        <v>1284</v>
      </c>
      <c r="AJ18" s="252">
        <f t="shared" si="6"/>
        <v>898.8</v>
      </c>
      <c r="AK18" s="252">
        <f t="shared" si="7"/>
        <v>1070</v>
      </c>
    </row>
    <row r="19" spans="1:37" ht="20.25" customHeight="1">
      <c r="A19" s="363">
        <f t="shared" si="8"/>
        <v>10</v>
      </c>
      <c r="B19" s="296" t="s">
        <v>4571</v>
      </c>
      <c r="C19" s="252">
        <f t="shared" ref="C19:C24" si="9">AE41</f>
        <v>78.900000000000006</v>
      </c>
      <c r="D19" s="365" t="s">
        <v>869</v>
      </c>
      <c r="F19" s="252">
        <v>1</v>
      </c>
      <c r="G19" s="252" t="s">
        <v>869</v>
      </c>
      <c r="H19" s="296" t="s">
        <v>870</v>
      </c>
      <c r="I19" s="252">
        <f>I36</f>
        <v>1741.58</v>
      </c>
      <c r="J19" s="296" t="s">
        <v>869</v>
      </c>
      <c r="K19" s="252">
        <f>(F19*I19)</f>
        <v>1741.58</v>
      </c>
      <c r="O19" s="296" t="s">
        <v>71</v>
      </c>
      <c r="T19" s="520" t="s">
        <v>72</v>
      </c>
      <c r="U19" s="513" t="s">
        <v>5807</v>
      </c>
      <c r="V19" s="513" t="s">
        <v>869</v>
      </c>
      <c r="W19" s="520" t="str">
        <f>W18</f>
        <v>Melchengam</v>
      </c>
      <c r="X19" s="512">
        <f>'lead  charge'!P10</f>
        <v>2</v>
      </c>
      <c r="Y19" s="598">
        <v>705</v>
      </c>
      <c r="Z19" s="932">
        <f>'lead  charge'!Q10</f>
        <v>15.98</v>
      </c>
      <c r="AA19" s="520"/>
      <c r="AB19" s="513">
        <v>0</v>
      </c>
      <c r="AC19" s="513">
        <f t="shared" si="1"/>
        <v>720.98</v>
      </c>
      <c r="AD19" s="513" t="s">
        <v>6017</v>
      </c>
      <c r="AE19" s="512">
        <f t="shared" si="2"/>
        <v>976</v>
      </c>
      <c r="AF19" s="362">
        <v>976</v>
      </c>
      <c r="AG19" s="252">
        <f t="shared" si="3"/>
        <v>1073.5999999999999</v>
      </c>
      <c r="AH19" s="252">
        <f t="shared" si="4"/>
        <v>1171.2</v>
      </c>
      <c r="AI19" s="252">
        <f t="shared" si="5"/>
        <v>1464</v>
      </c>
      <c r="AJ19" s="252">
        <f t="shared" si="6"/>
        <v>1024.8</v>
      </c>
      <c r="AK19" s="252">
        <f t="shared" si="7"/>
        <v>1220</v>
      </c>
    </row>
    <row r="20" spans="1:37" ht="20.25"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20" t="s">
        <v>1971</v>
      </c>
      <c r="U20" s="513" t="s">
        <v>1972</v>
      </c>
      <c r="V20" s="513" t="s">
        <v>869</v>
      </c>
      <c r="W20" s="520" t="str">
        <f>W18</f>
        <v>Melchengam</v>
      </c>
      <c r="X20" s="512">
        <f>X19</f>
        <v>2</v>
      </c>
      <c r="Y20" s="598">
        <v>786</v>
      </c>
      <c r="Z20" s="932">
        <f>Z19</f>
        <v>15.98</v>
      </c>
      <c r="AA20" s="520"/>
      <c r="AB20" s="513">
        <v>0</v>
      </c>
      <c r="AC20" s="513">
        <f t="shared" si="1"/>
        <v>801.98</v>
      </c>
      <c r="AD20" s="513" t="s">
        <v>6018</v>
      </c>
      <c r="AE20" s="512">
        <f t="shared" si="2"/>
        <v>932</v>
      </c>
      <c r="AF20" s="362">
        <v>932</v>
      </c>
      <c r="AG20" s="252">
        <f t="shared" si="3"/>
        <v>1025.2</v>
      </c>
      <c r="AH20" s="252">
        <f t="shared" si="4"/>
        <v>1118.4000000000001</v>
      </c>
      <c r="AI20" s="252">
        <f t="shared" si="5"/>
        <v>1398</v>
      </c>
      <c r="AJ20" s="252">
        <f t="shared" si="6"/>
        <v>978.6</v>
      </c>
      <c r="AK20" s="252">
        <f t="shared" si="7"/>
        <v>1165</v>
      </c>
    </row>
    <row r="21" spans="1:37" ht="20.25"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20" t="s">
        <v>2263</v>
      </c>
      <c r="U21" s="513" t="s">
        <v>5808</v>
      </c>
      <c r="V21" s="513" t="s">
        <v>1446</v>
      </c>
      <c r="W21" s="520" t="s">
        <v>6552</v>
      </c>
      <c r="X21" s="512">
        <f>'lead  charge'!J12</f>
        <v>8</v>
      </c>
      <c r="Y21" s="598">
        <v>16106</v>
      </c>
      <c r="Z21" s="932">
        <f>'lead  charge'!K11</f>
        <v>0</v>
      </c>
      <c r="AA21" s="520"/>
      <c r="AB21" s="513">
        <v>0</v>
      </c>
      <c r="AC21" s="513">
        <f t="shared" si="1"/>
        <v>16106</v>
      </c>
      <c r="AD21" s="513" t="s">
        <v>6019</v>
      </c>
      <c r="AE21" s="512">
        <f t="shared" si="2"/>
        <v>766</v>
      </c>
      <c r="AF21" s="362">
        <v>766</v>
      </c>
      <c r="AG21" s="252">
        <f t="shared" si="3"/>
        <v>842.6</v>
      </c>
      <c r="AH21" s="252">
        <f t="shared" si="4"/>
        <v>919.2</v>
      </c>
      <c r="AI21" s="252">
        <f t="shared" si="5"/>
        <v>1149</v>
      </c>
      <c r="AJ21" s="252">
        <f t="shared" si="6"/>
        <v>804.3</v>
      </c>
      <c r="AK21" s="252">
        <f t="shared" si="7"/>
        <v>957.5</v>
      </c>
    </row>
    <row r="22" spans="1:37" ht="20.25" customHeight="1">
      <c r="A22" s="363">
        <f t="shared" si="8"/>
        <v>13</v>
      </c>
      <c r="B22" s="296" t="s">
        <v>4572</v>
      </c>
      <c r="C22" s="252">
        <f t="shared" si="9"/>
        <v>119.85</v>
      </c>
      <c r="D22" s="365" t="s">
        <v>869</v>
      </c>
      <c r="K22" s="358" t="s">
        <v>1586</v>
      </c>
      <c r="M22" s="252">
        <v>1</v>
      </c>
      <c r="N22" s="296" t="s">
        <v>869</v>
      </c>
      <c r="O22" s="296" t="s">
        <v>2002</v>
      </c>
      <c r="P22" s="252">
        <f>C79</f>
        <v>1741.58</v>
      </c>
      <c r="Q22" s="296" t="s">
        <v>869</v>
      </c>
      <c r="R22" s="252">
        <f>(M22*P22)</f>
        <v>1741.58</v>
      </c>
      <c r="T22" s="520" t="s">
        <v>2003</v>
      </c>
      <c r="U22" s="513" t="s">
        <v>5809</v>
      </c>
      <c r="V22" s="513" t="s">
        <v>866</v>
      </c>
      <c r="W22" s="520" t="s">
        <v>2265</v>
      </c>
      <c r="X22" s="512"/>
      <c r="Y22" s="598">
        <v>1348</v>
      </c>
      <c r="Z22" s="932"/>
      <c r="AA22" s="520"/>
      <c r="AB22" s="513">
        <v>0</v>
      </c>
      <c r="AC22" s="513">
        <f t="shared" si="1"/>
        <v>1348</v>
      </c>
      <c r="AD22" s="513" t="s">
        <v>2005</v>
      </c>
      <c r="AE22" s="512">
        <f t="shared" si="2"/>
        <v>738</v>
      </c>
      <c r="AF22" s="362">
        <v>738</v>
      </c>
      <c r="AG22" s="252">
        <f t="shared" si="3"/>
        <v>811.8</v>
      </c>
      <c r="AH22" s="252">
        <f t="shared" si="4"/>
        <v>885.6</v>
      </c>
      <c r="AI22" s="252">
        <f t="shared" si="5"/>
        <v>1107</v>
      </c>
      <c r="AJ22" s="252">
        <f t="shared" si="6"/>
        <v>774.9</v>
      </c>
      <c r="AK22" s="252">
        <f t="shared" si="7"/>
        <v>922.5</v>
      </c>
    </row>
    <row r="23" spans="1:37" ht="20.25" customHeight="1">
      <c r="A23" s="363">
        <f t="shared" si="8"/>
        <v>14</v>
      </c>
      <c r="B23" s="296" t="s">
        <v>285</v>
      </c>
      <c r="C23" s="252">
        <f t="shared" si="9"/>
        <v>236.1</v>
      </c>
      <c r="D23" s="365" t="s">
        <v>869</v>
      </c>
      <c r="H23" s="296" t="s">
        <v>1516</v>
      </c>
      <c r="K23" s="274">
        <f>SUM(K18:K21)</f>
        <v>6206.38</v>
      </c>
      <c r="M23" s="252">
        <v>1</v>
      </c>
      <c r="N23" s="296" t="s">
        <v>869</v>
      </c>
      <c r="O23" s="296" t="s">
        <v>286</v>
      </c>
      <c r="P23" s="252">
        <f>C85</f>
        <v>1016.97</v>
      </c>
      <c r="Q23" s="296" t="s">
        <v>869</v>
      </c>
      <c r="R23" s="252">
        <f>(M23*P23)</f>
        <v>1016.97</v>
      </c>
      <c r="T23" s="520" t="s">
        <v>828</v>
      </c>
      <c r="U23" s="513" t="s">
        <v>4564</v>
      </c>
      <c r="V23" s="513" t="s">
        <v>866</v>
      </c>
      <c r="W23" s="520" t="str">
        <f>W22</f>
        <v>Local</v>
      </c>
      <c r="X23" s="512">
        <f>'lead  charge'!P11</f>
        <v>3</v>
      </c>
      <c r="Y23" s="598">
        <v>993</v>
      </c>
      <c r="Z23" s="932">
        <f>'lead  charge'!Q11</f>
        <v>23.97</v>
      </c>
      <c r="AA23" s="520"/>
      <c r="AB23" s="513">
        <v>0</v>
      </c>
      <c r="AC23" s="513">
        <f t="shared" si="1"/>
        <v>1016.97</v>
      </c>
      <c r="AD23" s="513" t="s">
        <v>830</v>
      </c>
      <c r="AE23" s="512">
        <f t="shared" si="2"/>
        <v>769</v>
      </c>
      <c r="AF23" s="362">
        <v>769</v>
      </c>
      <c r="AG23" s="252">
        <f t="shared" si="3"/>
        <v>845.9</v>
      </c>
      <c r="AH23" s="252">
        <f t="shared" si="4"/>
        <v>922.8</v>
      </c>
      <c r="AI23" s="252">
        <f t="shared" si="5"/>
        <v>1153.5</v>
      </c>
      <c r="AJ23" s="252">
        <f t="shared" si="6"/>
        <v>807.45</v>
      </c>
      <c r="AK23" s="252">
        <f t="shared" si="7"/>
        <v>961.25</v>
      </c>
    </row>
    <row r="24" spans="1:37" ht="20.25"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20" t="s">
        <v>1793</v>
      </c>
      <c r="U24" s="513" t="s">
        <v>4565</v>
      </c>
      <c r="V24" s="513" t="s">
        <v>866</v>
      </c>
      <c r="W24" s="520" t="s">
        <v>1794</v>
      </c>
      <c r="X24" s="512">
        <f>X25</f>
        <v>0</v>
      </c>
      <c r="Y24" s="598">
        <v>34300</v>
      </c>
      <c r="Z24" s="932">
        <f>Z25</f>
        <v>0</v>
      </c>
      <c r="AA24" s="520"/>
      <c r="AB24" s="513">
        <v>0</v>
      </c>
      <c r="AC24" s="513">
        <f t="shared" si="1"/>
        <v>34300</v>
      </c>
      <c r="AD24" s="513" t="s">
        <v>6355</v>
      </c>
      <c r="AE24" s="512">
        <f t="shared" si="2"/>
        <v>116</v>
      </c>
      <c r="AF24" s="362">
        <v>116</v>
      </c>
      <c r="AG24" s="252">
        <f t="shared" si="3"/>
        <v>127.6</v>
      </c>
      <c r="AH24" s="252">
        <f t="shared" si="4"/>
        <v>139.19999999999999</v>
      </c>
      <c r="AI24" s="252">
        <f t="shared" si="5"/>
        <v>174</v>
      </c>
      <c r="AJ24" s="252">
        <f t="shared" si="6"/>
        <v>121.8</v>
      </c>
      <c r="AK24" s="252">
        <f t="shared" si="7"/>
        <v>145</v>
      </c>
    </row>
    <row r="25" spans="1:37" ht="20.25" customHeight="1">
      <c r="A25" s="363">
        <f t="shared" si="8"/>
        <v>16</v>
      </c>
      <c r="B25" s="296" t="s">
        <v>4019</v>
      </c>
      <c r="C25" s="364">
        <f>AE25</f>
        <v>94.2</v>
      </c>
      <c r="D25" s="365" t="s">
        <v>869</v>
      </c>
      <c r="G25" s="252" t="s">
        <v>2251</v>
      </c>
      <c r="H25" s="296" t="s">
        <v>1353</v>
      </c>
      <c r="M25" s="252">
        <v>1.5</v>
      </c>
      <c r="N25" s="296" t="s">
        <v>869</v>
      </c>
      <c r="O25" s="296" t="s">
        <v>1354</v>
      </c>
      <c r="P25" s="252">
        <f>C27</f>
        <v>34.200000000000003</v>
      </c>
      <c r="Q25" s="296" t="s">
        <v>869</v>
      </c>
      <c r="R25" s="252">
        <f>(M25*P25)</f>
        <v>51.3</v>
      </c>
      <c r="T25" s="520" t="s">
        <v>1355</v>
      </c>
      <c r="U25" s="513" t="s">
        <v>1356</v>
      </c>
      <c r="V25" s="513" t="s">
        <v>866</v>
      </c>
      <c r="W25" s="520" t="s">
        <v>1794</v>
      </c>
      <c r="X25" s="512">
        <f>'lead  charge'!P12</f>
        <v>0</v>
      </c>
      <c r="Y25" s="598">
        <v>39400</v>
      </c>
      <c r="Z25" s="932">
        <f>'lead  charge'!Q12</f>
        <v>0</v>
      </c>
      <c r="AA25" s="520"/>
      <c r="AB25" s="513">
        <v>0</v>
      </c>
      <c r="AC25" s="513">
        <f>SUM(Y25+Z25+AA25+AB25)</f>
        <v>39400</v>
      </c>
      <c r="AD25" s="513" t="s">
        <v>6356</v>
      </c>
      <c r="AE25" s="512">
        <f t="shared" si="2"/>
        <v>94.2</v>
      </c>
      <c r="AF25" s="362">
        <v>94.2</v>
      </c>
      <c r="AG25" s="252">
        <f t="shared" si="3"/>
        <v>103.62</v>
      </c>
      <c r="AH25" s="252">
        <f t="shared" si="4"/>
        <v>113.04</v>
      </c>
      <c r="AI25" s="252">
        <f t="shared" si="5"/>
        <v>141.30000000000001</v>
      </c>
      <c r="AJ25" s="252">
        <f t="shared" si="6"/>
        <v>98.91</v>
      </c>
      <c r="AK25" s="252">
        <f t="shared" si="7"/>
        <v>117.75</v>
      </c>
    </row>
    <row r="26" spans="1:37" ht="20.25" customHeight="1">
      <c r="A26" s="363">
        <f t="shared" si="8"/>
        <v>17</v>
      </c>
      <c r="B26" s="296" t="s">
        <v>4020</v>
      </c>
      <c r="C26" s="364">
        <f>AE28</f>
        <v>38.950000000000003</v>
      </c>
      <c r="D26" s="365" t="s">
        <v>2043</v>
      </c>
      <c r="H26" s="358" t="s">
        <v>1586</v>
      </c>
      <c r="N26" s="296" t="s">
        <v>449</v>
      </c>
      <c r="O26" s="296" t="s">
        <v>450</v>
      </c>
      <c r="P26" s="296" t="s">
        <v>975</v>
      </c>
      <c r="Q26" s="296" t="s">
        <v>449</v>
      </c>
      <c r="R26" s="252">
        <v>0</v>
      </c>
      <c r="T26" s="520" t="s">
        <v>2044</v>
      </c>
      <c r="U26" s="513" t="s">
        <v>4566</v>
      </c>
      <c r="V26" s="513" t="s">
        <v>866</v>
      </c>
      <c r="W26" s="520" t="s">
        <v>1794</v>
      </c>
      <c r="X26" s="512">
        <f>X25</f>
        <v>0</v>
      </c>
      <c r="Y26" s="598">
        <v>111600</v>
      </c>
      <c r="Z26" s="932">
        <f>'lead  charge'!Q12</f>
        <v>0</v>
      </c>
      <c r="AA26" s="520"/>
      <c r="AB26" s="513">
        <v>0</v>
      </c>
      <c r="AC26" s="513">
        <f>SUM(Y26+Z26+AA26+AB26)</f>
        <v>111600</v>
      </c>
      <c r="AD26" s="513" t="s">
        <v>5246</v>
      </c>
      <c r="AE26" s="512">
        <f t="shared" si="2"/>
        <v>69.8</v>
      </c>
      <c r="AF26" s="362">
        <v>69.8</v>
      </c>
      <c r="AG26" s="252">
        <f t="shared" si="3"/>
        <v>76.78</v>
      </c>
      <c r="AH26" s="252">
        <f t="shared" si="4"/>
        <v>83.76</v>
      </c>
      <c r="AI26" s="252">
        <f t="shared" si="5"/>
        <v>104.7</v>
      </c>
      <c r="AJ26" s="252">
        <f t="shared" si="6"/>
        <v>73.290000000000006</v>
      </c>
      <c r="AK26" s="252">
        <f t="shared" si="7"/>
        <v>87.25</v>
      </c>
    </row>
    <row r="27" spans="1:37" ht="20.25" customHeight="1">
      <c r="A27" s="363">
        <f t="shared" si="8"/>
        <v>18</v>
      </c>
      <c r="B27" s="296" t="s">
        <v>4021</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20" t="s">
        <v>1490</v>
      </c>
      <c r="U27" s="513" t="s">
        <v>4567</v>
      </c>
      <c r="V27" s="513" t="s">
        <v>866</v>
      </c>
      <c r="W27" s="520" t="s">
        <v>1794</v>
      </c>
      <c r="X27" s="512">
        <f>X26</f>
        <v>0</v>
      </c>
      <c r="Y27" s="598">
        <v>99400</v>
      </c>
      <c r="Z27" s="932">
        <f>Z26</f>
        <v>0</v>
      </c>
      <c r="AA27" s="520"/>
      <c r="AB27" s="513">
        <v>0</v>
      </c>
      <c r="AC27" s="513">
        <f>SUM(Y27+Z27+AA27+AB27)</f>
        <v>99400</v>
      </c>
      <c r="AD27" s="513" t="s">
        <v>6357</v>
      </c>
      <c r="AE27" s="51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0.25" customHeight="1">
      <c r="A28" s="363">
        <f t="shared" si="8"/>
        <v>19</v>
      </c>
      <c r="B28" s="296" t="s">
        <v>5247</v>
      </c>
      <c r="C28" s="366">
        <f>E27</f>
        <v>86.4</v>
      </c>
      <c r="D28" s="365" t="s">
        <v>449</v>
      </c>
      <c r="E28" s="252">
        <v>254.4</v>
      </c>
      <c r="F28" s="252">
        <v>1</v>
      </c>
      <c r="G28" s="252" t="s">
        <v>869</v>
      </c>
      <c r="H28" s="296" t="s">
        <v>870</v>
      </c>
      <c r="I28" s="252">
        <f>(C78)</f>
        <v>1741.58</v>
      </c>
      <c r="J28" s="296" t="s">
        <v>869</v>
      </c>
      <c r="K28" s="252">
        <f>(F28*I28)</f>
        <v>1741.58</v>
      </c>
      <c r="O28" s="296" t="s">
        <v>168</v>
      </c>
      <c r="R28" s="252">
        <f>SUM(R22:R26)</f>
        <v>2983.85</v>
      </c>
      <c r="T28" s="520" t="s">
        <v>885</v>
      </c>
      <c r="U28" s="513" t="s">
        <v>4568</v>
      </c>
      <c r="V28" s="513" t="s">
        <v>866</v>
      </c>
      <c r="W28" s="520" t="s">
        <v>1794</v>
      </c>
      <c r="X28" s="512">
        <f>X27</f>
        <v>0</v>
      </c>
      <c r="Y28" s="598">
        <v>95000</v>
      </c>
      <c r="Z28" s="932">
        <f>Z27</f>
        <v>0</v>
      </c>
      <c r="AA28" s="520"/>
      <c r="AB28" s="513">
        <v>0</v>
      </c>
      <c r="AC28" s="513">
        <f>SUM(Y28+Z28+AA28+AB28)</f>
        <v>95000</v>
      </c>
      <c r="AD28" s="513" t="s">
        <v>5248</v>
      </c>
      <c r="AE28" s="512">
        <f t="shared" si="2"/>
        <v>38.950000000000003</v>
      </c>
      <c r="AF28" s="362">
        <v>38.950000000000003</v>
      </c>
      <c r="AG28" s="252">
        <f t="shared" si="3"/>
        <v>42.85</v>
      </c>
      <c r="AH28" s="252">
        <f t="shared" si="4"/>
        <v>46.74</v>
      </c>
      <c r="AI28" s="252">
        <f t="shared" si="5"/>
        <v>58.43</v>
      </c>
      <c r="AJ28" s="252">
        <f t="shared" si="6"/>
        <v>40.9</v>
      </c>
      <c r="AK28" s="252">
        <f t="shared" si="7"/>
        <v>48.69</v>
      </c>
    </row>
    <row r="29" spans="1:37" ht="20.25" customHeight="1">
      <c r="A29" s="363">
        <f t="shared" si="8"/>
        <v>20</v>
      </c>
      <c r="B29" s="296" t="s">
        <v>4022</v>
      </c>
      <c r="C29" s="364">
        <f>AE23</f>
        <v>769</v>
      </c>
      <c r="D29" s="365" t="s">
        <v>769</v>
      </c>
      <c r="E29" s="252">
        <f>E28/3</f>
        <v>84.8</v>
      </c>
      <c r="F29" s="252">
        <v>1</v>
      </c>
      <c r="G29" s="252" t="s">
        <v>869</v>
      </c>
      <c r="H29" s="296" t="s">
        <v>874</v>
      </c>
      <c r="I29" s="252">
        <f>(C18)</f>
        <v>116</v>
      </c>
      <c r="J29" s="296" t="s">
        <v>869</v>
      </c>
      <c r="K29" s="252">
        <f>(F29*I29)</f>
        <v>116</v>
      </c>
      <c r="R29" s="358" t="s">
        <v>1586</v>
      </c>
      <c r="T29" s="520" t="s">
        <v>770</v>
      </c>
      <c r="U29" s="513" t="s">
        <v>5810</v>
      </c>
      <c r="V29" s="513" t="s">
        <v>1446</v>
      </c>
      <c r="W29" s="520" t="str">
        <f>W18</f>
        <v>Melchengam</v>
      </c>
      <c r="X29" s="512">
        <f>X18</f>
        <v>2</v>
      </c>
      <c r="Y29" s="598">
        <v>4299</v>
      </c>
      <c r="Z29" s="932">
        <f>'lead  charge'!H10</f>
        <v>19.64</v>
      </c>
      <c r="AA29" s="520"/>
      <c r="AB29" s="513">
        <v>0</v>
      </c>
      <c r="AC29" s="513">
        <f>SUM(Y29+Z29+AA29+AB29)</f>
        <v>4318.6400000000003</v>
      </c>
      <c r="AD29" s="513" t="s">
        <v>5249</v>
      </c>
      <c r="AE29" s="512">
        <f t="shared" si="2"/>
        <v>112.05</v>
      </c>
      <c r="AF29" s="362">
        <v>112.05</v>
      </c>
      <c r="AG29" s="252">
        <f t="shared" si="3"/>
        <v>123.26</v>
      </c>
      <c r="AH29" s="252">
        <f t="shared" si="4"/>
        <v>134.46</v>
      </c>
      <c r="AI29" s="252">
        <f t="shared" si="5"/>
        <v>168.08</v>
      </c>
      <c r="AJ29" s="252">
        <f t="shared" si="6"/>
        <v>117.65</v>
      </c>
      <c r="AK29" s="252">
        <f t="shared" si="7"/>
        <v>140.06</v>
      </c>
    </row>
    <row r="30" spans="1:37" ht="20.25" customHeight="1">
      <c r="A30" s="363">
        <f t="shared" si="8"/>
        <v>21</v>
      </c>
      <c r="B30" s="296" t="s">
        <v>4023</v>
      </c>
      <c r="C30" s="364">
        <f>AE33</f>
        <v>13690</v>
      </c>
      <c r="D30" s="288">
        <f>AE31</f>
        <v>1281</v>
      </c>
      <c r="G30" s="252" t="s">
        <v>449</v>
      </c>
      <c r="H30" s="296" t="s">
        <v>450</v>
      </c>
      <c r="I30" s="296" t="s">
        <v>975</v>
      </c>
      <c r="J30" s="296" t="s">
        <v>449</v>
      </c>
      <c r="K30" s="252">
        <v>0</v>
      </c>
      <c r="O30" s="296" t="s">
        <v>773</v>
      </c>
      <c r="R30" s="252">
        <f>(R28/1.5)</f>
        <v>1989.23</v>
      </c>
      <c r="T30" s="520" t="s">
        <v>2168</v>
      </c>
      <c r="U30" s="513" t="s">
        <v>4569</v>
      </c>
      <c r="V30" s="513" t="s">
        <v>1446</v>
      </c>
      <c r="W30" s="520" t="s">
        <v>1794</v>
      </c>
      <c r="X30" s="512"/>
      <c r="Y30" s="598">
        <v>11907</v>
      </c>
      <c r="Z30" s="932"/>
      <c r="AA30" s="520"/>
      <c r="AB30" s="513">
        <v>0</v>
      </c>
      <c r="AC30" s="513">
        <f t="shared" si="1"/>
        <v>11907</v>
      </c>
      <c r="AD30" s="513" t="s">
        <v>6358</v>
      </c>
      <c r="AE30" s="512">
        <f t="shared" si="2"/>
        <v>1537</v>
      </c>
      <c r="AF30" s="362">
        <v>1537</v>
      </c>
      <c r="AG30" s="252">
        <f t="shared" si="3"/>
        <v>1690.7</v>
      </c>
      <c r="AH30" s="252">
        <f t="shared" si="4"/>
        <v>1844.4</v>
      </c>
      <c r="AI30" s="252">
        <f t="shared" si="5"/>
        <v>2305.5</v>
      </c>
      <c r="AJ30" s="252">
        <f t="shared" si="6"/>
        <v>1613.85</v>
      </c>
      <c r="AK30" s="252">
        <f t="shared" si="7"/>
        <v>1921.25</v>
      </c>
    </row>
    <row r="31" spans="1:37" ht="20.25" customHeight="1">
      <c r="A31" s="363">
        <f t="shared" si="8"/>
        <v>22</v>
      </c>
      <c r="B31" s="296" t="s">
        <v>4024</v>
      </c>
      <c r="C31" s="364">
        <f>AE30</f>
        <v>1537</v>
      </c>
      <c r="D31" s="288">
        <f>AE32</f>
        <v>1436</v>
      </c>
      <c r="K31" s="358" t="s">
        <v>1586</v>
      </c>
      <c r="O31" s="296" t="s">
        <v>249</v>
      </c>
      <c r="R31" s="358" t="s">
        <v>2055</v>
      </c>
      <c r="T31" s="520" t="s">
        <v>18</v>
      </c>
      <c r="U31" s="513" t="s">
        <v>19</v>
      </c>
      <c r="V31" s="513" t="s">
        <v>861</v>
      </c>
      <c r="W31" s="520" t="s">
        <v>1794</v>
      </c>
      <c r="X31" s="512">
        <f>'lead  charge'!D14</f>
        <v>0</v>
      </c>
      <c r="Y31" s="598">
        <v>6040</v>
      </c>
      <c r="Z31" s="932">
        <f>'lead  charge'!E14</f>
        <v>0</v>
      </c>
      <c r="AA31" s="520"/>
      <c r="AB31" s="513"/>
      <c r="AC31" s="513">
        <f>SUM(Y31+Z31+AA31+AB31)</f>
        <v>6040</v>
      </c>
      <c r="AD31" s="513" t="s">
        <v>6359</v>
      </c>
      <c r="AE31" s="512">
        <f t="shared" si="2"/>
        <v>1281</v>
      </c>
      <c r="AF31" s="362">
        <v>1281</v>
      </c>
      <c r="AG31" s="252">
        <f t="shared" si="3"/>
        <v>1409.1</v>
      </c>
      <c r="AH31" s="252">
        <f t="shared" si="4"/>
        <v>1537.2</v>
      </c>
      <c r="AI31" s="252">
        <f t="shared" si="5"/>
        <v>1921.5</v>
      </c>
      <c r="AJ31" s="252">
        <f t="shared" si="6"/>
        <v>1345.05</v>
      </c>
      <c r="AK31" s="252">
        <f t="shared" si="7"/>
        <v>1601.25</v>
      </c>
    </row>
    <row r="32" spans="1:37" ht="20.25" customHeight="1">
      <c r="A32" s="363">
        <f t="shared" si="8"/>
        <v>23</v>
      </c>
      <c r="B32" s="296" t="s">
        <v>1797</v>
      </c>
      <c r="C32" s="368">
        <v>2.5</v>
      </c>
      <c r="D32" s="364">
        <f>AE34</f>
        <v>1197</v>
      </c>
      <c r="H32" s="296" t="s">
        <v>1516</v>
      </c>
      <c r="K32" s="274">
        <f>SUM(K27:K30)</f>
        <v>4756.78</v>
      </c>
      <c r="T32" s="520" t="s">
        <v>1798</v>
      </c>
      <c r="U32" s="513" t="s">
        <v>1799</v>
      </c>
      <c r="V32" s="513" t="s">
        <v>861</v>
      </c>
      <c r="W32" s="520" t="s">
        <v>2265</v>
      </c>
      <c r="X32" s="512">
        <f>'lead  charge'!D15</f>
        <v>0</v>
      </c>
      <c r="Y32" s="598">
        <v>58000</v>
      </c>
      <c r="Z32" s="932">
        <f>Z31</f>
        <v>0</v>
      </c>
      <c r="AA32" s="520"/>
      <c r="AB32" s="513">
        <v>0</v>
      </c>
      <c r="AC32" s="513">
        <f>SUM(Y32+Z32+AA32+AB32)</f>
        <v>58000</v>
      </c>
      <c r="AD32" s="513" t="s">
        <v>6360</v>
      </c>
      <c r="AE32" s="512">
        <f t="shared" si="2"/>
        <v>1436</v>
      </c>
      <c r="AF32" s="362">
        <v>1436</v>
      </c>
      <c r="AG32" s="252">
        <f t="shared" si="3"/>
        <v>1579.6</v>
      </c>
      <c r="AH32" s="252">
        <f t="shared" si="4"/>
        <v>1723.2</v>
      </c>
      <c r="AI32" s="252">
        <f t="shared" si="5"/>
        <v>2154</v>
      </c>
      <c r="AJ32" s="252">
        <f t="shared" si="6"/>
        <v>1507.8</v>
      </c>
      <c r="AK32" s="252">
        <f t="shared" si="7"/>
        <v>1795</v>
      </c>
    </row>
    <row r="33" spans="1:37" ht="20.25" customHeight="1">
      <c r="A33" s="363">
        <f t="shared" si="8"/>
        <v>24</v>
      </c>
      <c r="B33" s="296" t="s">
        <v>444</v>
      </c>
      <c r="C33" s="368">
        <v>3.64</v>
      </c>
      <c r="D33" s="364">
        <f>AE35</f>
        <v>1072</v>
      </c>
      <c r="K33" s="358" t="s">
        <v>1586</v>
      </c>
      <c r="T33" s="934" t="s">
        <v>445</v>
      </c>
      <c r="U33" s="513" t="s">
        <v>1418</v>
      </c>
      <c r="V33" s="513" t="s">
        <v>861</v>
      </c>
      <c r="W33" s="520" t="s">
        <v>2265</v>
      </c>
      <c r="X33" s="512">
        <f>X32</f>
        <v>0</v>
      </c>
      <c r="Y33" s="598">
        <v>58000</v>
      </c>
      <c r="Z33" s="932">
        <f>Z32</f>
        <v>0</v>
      </c>
      <c r="AA33" s="520"/>
      <c r="AB33" s="513">
        <v>0</v>
      </c>
      <c r="AC33" s="513">
        <f t="shared" si="1"/>
        <v>58000</v>
      </c>
      <c r="AD33" s="513" t="s">
        <v>6361</v>
      </c>
      <c r="AE33" s="512">
        <f t="shared" si="2"/>
        <v>13690</v>
      </c>
      <c r="AF33" s="362">
        <v>13690</v>
      </c>
      <c r="AG33" s="252">
        <f t="shared" si="3"/>
        <v>15059</v>
      </c>
      <c r="AH33" s="252">
        <f t="shared" si="4"/>
        <v>16428</v>
      </c>
      <c r="AI33" s="252">
        <f t="shared" si="5"/>
        <v>20535</v>
      </c>
      <c r="AJ33" s="252">
        <f t="shared" si="6"/>
        <v>14374.5</v>
      </c>
      <c r="AK33" s="252">
        <f t="shared" si="7"/>
        <v>17112.5</v>
      </c>
    </row>
    <row r="34" spans="1:37" ht="20.25" customHeight="1">
      <c r="A34" s="363">
        <f t="shared" si="8"/>
        <v>25</v>
      </c>
      <c r="B34" s="296" t="s">
        <v>5811</v>
      </c>
      <c r="C34" s="362">
        <f>53*1000</f>
        <v>53000</v>
      </c>
      <c r="D34" s="370">
        <f>C34</f>
        <v>53000</v>
      </c>
      <c r="G34" s="252" t="s">
        <v>2251</v>
      </c>
      <c r="H34" s="296" t="s">
        <v>1307</v>
      </c>
      <c r="T34" s="934" t="s">
        <v>1420</v>
      </c>
      <c r="U34" s="513" t="s">
        <v>1421</v>
      </c>
      <c r="V34" s="513" t="s">
        <v>1446</v>
      </c>
      <c r="W34" s="520" t="str">
        <f>W18</f>
        <v>Melchengam</v>
      </c>
      <c r="X34" s="512">
        <f>X29</f>
        <v>2</v>
      </c>
      <c r="Y34" s="598">
        <f>Y29</f>
        <v>4299</v>
      </c>
      <c r="Z34" s="932">
        <f>Z29</f>
        <v>19.64</v>
      </c>
      <c r="AA34" s="520"/>
      <c r="AB34" s="513">
        <v>0</v>
      </c>
      <c r="AC34" s="513">
        <f t="shared" si="1"/>
        <v>4318.6400000000003</v>
      </c>
      <c r="AD34" s="513" t="s">
        <v>6362</v>
      </c>
      <c r="AE34" s="512">
        <f t="shared" si="2"/>
        <v>1197</v>
      </c>
      <c r="AF34" s="362">
        <v>1197</v>
      </c>
      <c r="AG34" s="252">
        <f t="shared" si="3"/>
        <v>1316.7</v>
      </c>
      <c r="AH34" s="252">
        <f t="shared" si="4"/>
        <v>1436.4</v>
      </c>
      <c r="AI34" s="252">
        <f t="shared" si="5"/>
        <v>1795.5</v>
      </c>
      <c r="AJ34" s="252">
        <f t="shared" si="6"/>
        <v>1256.8499999999999</v>
      </c>
      <c r="AK34" s="252">
        <f t="shared" si="7"/>
        <v>1496.25</v>
      </c>
    </row>
    <row r="35" spans="1:37" ht="20.25" customHeight="1">
      <c r="A35" s="363">
        <f t="shared" si="8"/>
        <v>26</v>
      </c>
      <c r="B35" s="296" t="s">
        <v>208</v>
      </c>
      <c r="C35" s="364">
        <f>AC38</f>
        <v>257.64999999999998</v>
      </c>
      <c r="D35" s="364"/>
      <c r="F35" s="252">
        <v>0.36</v>
      </c>
      <c r="G35" s="252" t="s">
        <v>861</v>
      </c>
      <c r="H35" s="296" t="s">
        <v>862</v>
      </c>
      <c r="I35" s="252">
        <f>C67</f>
        <v>6040</v>
      </c>
      <c r="J35" s="296" t="s">
        <v>861</v>
      </c>
      <c r="K35" s="252">
        <f>(F35*I35)</f>
        <v>2174.4</v>
      </c>
      <c r="T35" s="520" t="s">
        <v>1422</v>
      </c>
      <c r="U35" s="935" t="s">
        <v>5812</v>
      </c>
      <c r="V35" s="935" t="s">
        <v>866</v>
      </c>
      <c r="W35" s="936" t="str">
        <f>W11</f>
        <v>Uchimalaikuppam</v>
      </c>
      <c r="X35" s="937">
        <f>X11</f>
        <v>32</v>
      </c>
      <c r="Y35" s="938">
        <v>961</v>
      </c>
      <c r="Z35" s="932">
        <f>Z11</f>
        <v>318.94</v>
      </c>
      <c r="AA35" s="520"/>
      <c r="AB35" s="513"/>
      <c r="AC35" s="513">
        <f t="shared" si="1"/>
        <v>1279.94</v>
      </c>
      <c r="AD35" s="513" t="s">
        <v>6363</v>
      </c>
      <c r="AE35" s="512">
        <f t="shared" si="2"/>
        <v>1072</v>
      </c>
      <c r="AF35" s="362">
        <v>1072</v>
      </c>
      <c r="AG35" s="252">
        <f t="shared" si="3"/>
        <v>1179.2</v>
      </c>
      <c r="AH35" s="252">
        <f t="shared" si="4"/>
        <v>1286.4000000000001</v>
      </c>
      <c r="AI35" s="252">
        <f t="shared" si="5"/>
        <v>1608</v>
      </c>
      <c r="AJ35" s="252">
        <f t="shared" si="6"/>
        <v>1125.5999999999999</v>
      </c>
      <c r="AK35" s="252">
        <f t="shared" si="7"/>
        <v>1340</v>
      </c>
    </row>
    <row r="36" spans="1:37" ht="20.25" customHeight="1">
      <c r="A36" s="364" t="s">
        <v>975</v>
      </c>
      <c r="B36" s="296" t="s">
        <v>5250</v>
      </c>
      <c r="C36" s="252">
        <f>AE59</f>
        <v>0</v>
      </c>
      <c r="D36" s="364"/>
      <c r="F36" s="252">
        <v>1</v>
      </c>
      <c r="G36" s="252" t="s">
        <v>869</v>
      </c>
      <c r="H36" s="296" t="s">
        <v>870</v>
      </c>
      <c r="I36" s="252">
        <f>AC16</f>
        <v>1741.58</v>
      </c>
      <c r="J36" s="296" t="s">
        <v>869</v>
      </c>
      <c r="K36" s="252">
        <f>(F36*I36)</f>
        <v>1741.58</v>
      </c>
      <c r="T36" s="520" t="s">
        <v>225</v>
      </c>
      <c r="U36" s="935" t="s">
        <v>398</v>
      </c>
      <c r="V36" s="935" t="s">
        <v>866</v>
      </c>
      <c r="W36" s="936" t="str">
        <f>W12</f>
        <v>Uchimalaikuppam</v>
      </c>
      <c r="X36" s="937">
        <f>X11</f>
        <v>32</v>
      </c>
      <c r="Y36" s="938">
        <f>ROUND((1114+1051)/2,2)</f>
        <v>1082.5</v>
      </c>
      <c r="Z36" s="932">
        <f>Z11</f>
        <v>318.94</v>
      </c>
      <c r="AA36" s="520"/>
      <c r="AB36" s="513">
        <v>0</v>
      </c>
      <c r="AC36" s="513">
        <f t="shared" si="1"/>
        <v>1401.44</v>
      </c>
      <c r="AD36" s="513" t="s">
        <v>5251</v>
      </c>
      <c r="AE36" s="512">
        <f t="shared" si="2"/>
        <v>166.9</v>
      </c>
      <c r="AF36" s="362">
        <v>166.9</v>
      </c>
      <c r="AG36" s="252">
        <f t="shared" si="3"/>
        <v>183.59</v>
      </c>
      <c r="AH36" s="252">
        <f t="shared" si="4"/>
        <v>200.28</v>
      </c>
      <c r="AI36" s="252">
        <f t="shared" si="5"/>
        <v>250.35</v>
      </c>
      <c r="AJ36" s="252">
        <f t="shared" si="6"/>
        <v>175.25</v>
      </c>
      <c r="AK36" s="252">
        <f t="shared" si="7"/>
        <v>208.63</v>
      </c>
    </row>
    <row r="37" spans="1:37" ht="20.25" customHeight="1">
      <c r="A37" s="364"/>
      <c r="B37" s="296" t="s">
        <v>5252</v>
      </c>
      <c r="C37" s="252">
        <f>AE60</f>
        <v>0</v>
      </c>
      <c r="D37" s="364"/>
      <c r="F37" s="252">
        <v>1</v>
      </c>
      <c r="G37" s="252" t="s">
        <v>869</v>
      </c>
      <c r="H37" s="296" t="s">
        <v>874</v>
      </c>
      <c r="I37" s="252">
        <f>C18</f>
        <v>116</v>
      </c>
      <c r="J37" s="296" t="s">
        <v>869</v>
      </c>
      <c r="K37" s="252">
        <f>(F37*I37)</f>
        <v>116</v>
      </c>
      <c r="T37" s="520" t="s">
        <v>1673</v>
      </c>
      <c r="U37" s="935" t="s">
        <v>416</v>
      </c>
      <c r="V37" s="935" t="s">
        <v>866</v>
      </c>
      <c r="W37" s="936" t="str">
        <f>W13</f>
        <v>Uchimalaikuppam</v>
      </c>
      <c r="X37" s="937">
        <f>X36</f>
        <v>32</v>
      </c>
      <c r="Y37" s="938">
        <f>ROUND((665.8+812+1092+1092)/4,2)</f>
        <v>915.45</v>
      </c>
      <c r="Z37" s="932">
        <f>Z11</f>
        <v>318.94</v>
      </c>
      <c r="AA37" s="520"/>
      <c r="AB37" s="513">
        <v>0</v>
      </c>
      <c r="AC37" s="513">
        <f>SUM(Y37+Z37+AA37+AB37)</f>
        <v>1234.3900000000001</v>
      </c>
      <c r="AD37" s="513" t="s">
        <v>6364</v>
      </c>
      <c r="AE37" s="512">
        <f t="shared" si="2"/>
        <v>839</v>
      </c>
      <c r="AF37" s="362">
        <v>839</v>
      </c>
      <c r="AG37" s="252">
        <f t="shared" si="3"/>
        <v>922.9</v>
      </c>
      <c r="AH37" s="252">
        <f t="shared" si="4"/>
        <v>1006.8</v>
      </c>
      <c r="AI37" s="252">
        <f t="shared" si="5"/>
        <v>1258.5</v>
      </c>
      <c r="AJ37" s="252">
        <f t="shared" si="6"/>
        <v>880.95</v>
      </c>
      <c r="AK37" s="252">
        <f t="shared" si="7"/>
        <v>1048.75</v>
      </c>
    </row>
    <row r="38" spans="1:37" ht="20.25" customHeight="1">
      <c r="A38" s="363">
        <f>(A35+1)</f>
        <v>27</v>
      </c>
      <c r="B38" s="296" t="s">
        <v>1674</v>
      </c>
      <c r="C38" s="372">
        <v>40</v>
      </c>
      <c r="D38" s="365" t="s">
        <v>868</v>
      </c>
      <c r="G38" s="252" t="s">
        <v>449</v>
      </c>
      <c r="H38" s="296" t="s">
        <v>450</v>
      </c>
      <c r="I38" s="296" t="s">
        <v>975</v>
      </c>
      <c r="J38" s="296" t="s">
        <v>449</v>
      </c>
      <c r="K38" s="252">
        <v>0</v>
      </c>
      <c r="T38" s="520" t="s">
        <v>207</v>
      </c>
      <c r="U38" s="513" t="s">
        <v>5813</v>
      </c>
      <c r="V38" s="513" t="s">
        <v>866</v>
      </c>
      <c r="W38" s="520" t="s">
        <v>2265</v>
      </c>
      <c r="X38" s="512">
        <f>'lead  charge'!D13</f>
        <v>3</v>
      </c>
      <c r="Y38" s="939">
        <v>222.7</v>
      </c>
      <c r="Z38" s="932">
        <f>'lead  charge'!E13</f>
        <v>34.950000000000003</v>
      </c>
      <c r="AA38" s="520"/>
      <c r="AB38" s="513">
        <v>0</v>
      </c>
      <c r="AC38" s="513">
        <f>SUM(Y38+Z38+AA38+AB38)</f>
        <v>257.64999999999998</v>
      </c>
      <c r="AD38" s="513" t="s">
        <v>6365</v>
      </c>
      <c r="AE38" s="512">
        <f t="shared" si="2"/>
        <v>866</v>
      </c>
      <c r="AF38" s="362">
        <v>866</v>
      </c>
      <c r="AG38" s="252">
        <f t="shared" si="3"/>
        <v>952.6</v>
      </c>
      <c r="AH38" s="252">
        <f t="shared" si="4"/>
        <v>1039.2</v>
      </c>
      <c r="AI38" s="252">
        <f t="shared" si="5"/>
        <v>1299</v>
      </c>
      <c r="AJ38" s="252">
        <f t="shared" si="6"/>
        <v>909.3</v>
      </c>
      <c r="AK38" s="252">
        <f t="shared" si="7"/>
        <v>1082.5</v>
      </c>
    </row>
    <row r="39" spans="1:37" ht="20.25" customHeight="1">
      <c r="A39" s="363">
        <f t="shared" ref="A39:A58" si="10">(A38+1)</f>
        <v>28</v>
      </c>
      <c r="B39" s="296" t="s">
        <v>209</v>
      </c>
      <c r="C39" s="372">
        <v>41</v>
      </c>
      <c r="D39" s="364">
        <v>500</v>
      </c>
      <c r="K39" s="358" t="s">
        <v>1586</v>
      </c>
      <c r="T39" s="520">
        <v>31</v>
      </c>
      <c r="U39" s="513" t="s">
        <v>5814</v>
      </c>
      <c r="V39" s="513" t="s">
        <v>866</v>
      </c>
      <c r="W39" s="520" t="s">
        <v>2265</v>
      </c>
      <c r="X39" s="512">
        <f>'lead  charge'!D16</f>
        <v>0</v>
      </c>
      <c r="Y39" s="939">
        <v>166.5</v>
      </c>
      <c r="Z39" s="932">
        <f>'lead  charge'!E16</f>
        <v>0</v>
      </c>
      <c r="AA39" s="520"/>
      <c r="AB39" s="513">
        <v>0</v>
      </c>
      <c r="AC39" s="513">
        <f>SUM(Y39+Z39+AA39+AB39)</f>
        <v>166.5</v>
      </c>
      <c r="AD39" s="513" t="s">
        <v>6366</v>
      </c>
      <c r="AE39" s="512">
        <f t="shared" si="2"/>
        <v>74.849999999999994</v>
      </c>
      <c r="AF39" s="362">
        <v>74.849999999999994</v>
      </c>
      <c r="AG39" s="252">
        <f t="shared" si="3"/>
        <v>82.34</v>
      </c>
      <c r="AH39" s="252">
        <f t="shared" si="4"/>
        <v>89.82</v>
      </c>
      <c r="AI39" s="252">
        <f t="shared" si="5"/>
        <v>112.28</v>
      </c>
      <c r="AJ39" s="252">
        <f t="shared" si="6"/>
        <v>78.59</v>
      </c>
      <c r="AK39" s="252">
        <f t="shared" si="7"/>
        <v>93.56</v>
      </c>
    </row>
    <row r="40" spans="1:37" ht="20.25" customHeight="1">
      <c r="A40" s="363">
        <f t="shared" si="10"/>
        <v>29</v>
      </c>
      <c r="B40" s="296" t="s">
        <v>1013</v>
      </c>
      <c r="C40" s="372">
        <v>28</v>
      </c>
      <c r="D40" s="314">
        <v>116.2</v>
      </c>
      <c r="H40" s="296" t="s">
        <v>1516</v>
      </c>
      <c r="K40" s="274">
        <f>SUM(K35:K38)</f>
        <v>4031.98</v>
      </c>
      <c r="T40" s="514"/>
      <c r="U40" s="512"/>
      <c r="V40" s="512"/>
      <c r="W40" s="520" t="s">
        <v>1586</v>
      </c>
      <c r="X40" s="512"/>
      <c r="Y40" s="512"/>
      <c r="Z40" s="932"/>
      <c r="AA40" s="512"/>
      <c r="AB40" s="512"/>
      <c r="AC40" s="512"/>
      <c r="AD40" s="512"/>
      <c r="AE40" s="512">
        <f t="shared" si="2"/>
        <v>0</v>
      </c>
      <c r="AG40" s="252">
        <f t="shared" si="3"/>
        <v>0</v>
      </c>
      <c r="AH40" s="252">
        <f t="shared" si="4"/>
        <v>0</v>
      </c>
      <c r="AI40" s="252">
        <f t="shared" si="5"/>
        <v>0</v>
      </c>
      <c r="AJ40" s="252">
        <f t="shared" si="6"/>
        <v>0</v>
      </c>
      <c r="AK40" s="252">
        <f t="shared" si="7"/>
        <v>0</v>
      </c>
    </row>
    <row r="41" spans="1:37" ht="20.25" customHeight="1">
      <c r="A41" s="363">
        <f t="shared" si="10"/>
        <v>30</v>
      </c>
      <c r="B41" s="296" t="s">
        <v>1769</v>
      </c>
      <c r="C41" s="364">
        <f>AE22</f>
        <v>738</v>
      </c>
      <c r="D41" s="365" t="s">
        <v>769</v>
      </c>
      <c r="K41" s="358" t="s">
        <v>1586</v>
      </c>
      <c r="T41" s="512"/>
      <c r="U41" s="513" t="s">
        <v>5815</v>
      </c>
      <c r="V41" s="513" t="s">
        <v>1446</v>
      </c>
      <c r="W41" s="520"/>
      <c r="X41" s="512">
        <f>'lead  charge'!M10</f>
        <v>0</v>
      </c>
      <c r="Y41" s="598">
        <v>6595</v>
      </c>
      <c r="Z41" s="932">
        <f>'lead  charge'!N10</f>
        <v>0</v>
      </c>
      <c r="AA41" s="520">
        <v>0</v>
      </c>
      <c r="AB41" s="513">
        <v>0</v>
      </c>
      <c r="AC41" s="513">
        <f t="shared" ref="AC41:AC47" si="11">SUM(Y41+Z41+AA41+AB41)</f>
        <v>6595</v>
      </c>
      <c r="AD41" s="940" t="s">
        <v>5253</v>
      </c>
      <c r="AE41" s="512">
        <f t="shared" si="2"/>
        <v>78.900000000000006</v>
      </c>
      <c r="AF41" s="362">
        <v>78.900000000000006</v>
      </c>
      <c r="AG41" s="252">
        <f t="shared" si="3"/>
        <v>86.79</v>
      </c>
      <c r="AH41" s="252">
        <f t="shared" si="4"/>
        <v>94.68</v>
      </c>
      <c r="AI41" s="252">
        <f t="shared" si="5"/>
        <v>118.35</v>
      </c>
      <c r="AJ41" s="252">
        <f t="shared" si="6"/>
        <v>82.85</v>
      </c>
      <c r="AK41" s="252">
        <f t="shared" si="7"/>
        <v>98.63</v>
      </c>
    </row>
    <row r="42" spans="1:37" ht="20.25" customHeight="1">
      <c r="A42" s="363">
        <f t="shared" si="10"/>
        <v>31</v>
      </c>
      <c r="B42" s="296" t="s">
        <v>1770</v>
      </c>
      <c r="C42" s="372">
        <v>5</v>
      </c>
      <c r="D42" s="374" t="s">
        <v>1771</v>
      </c>
      <c r="G42" s="252" t="s">
        <v>2251</v>
      </c>
      <c r="H42" s="296" t="s">
        <v>1625</v>
      </c>
      <c r="T42" s="512"/>
      <c r="U42" s="513" t="s">
        <v>5816</v>
      </c>
      <c r="V42" s="513" t="s">
        <v>1446</v>
      </c>
      <c r="W42" s="520">
        <f>W41</f>
        <v>0</v>
      </c>
      <c r="X42" s="512">
        <f>X41</f>
        <v>0</v>
      </c>
      <c r="Y42" s="598">
        <v>6795</v>
      </c>
      <c r="Z42" s="932">
        <f>Z41</f>
        <v>0</v>
      </c>
      <c r="AA42" s="520">
        <v>0</v>
      </c>
      <c r="AB42" s="513">
        <v>0</v>
      </c>
      <c r="AC42" s="513">
        <f t="shared" si="11"/>
        <v>6795</v>
      </c>
      <c r="AD42" s="940" t="s">
        <v>374</v>
      </c>
      <c r="AE42" s="512">
        <f t="shared" si="2"/>
        <v>159.19999999999999</v>
      </c>
      <c r="AF42" s="362">
        <v>159.19999999999999</v>
      </c>
      <c r="AG42" s="252">
        <f t="shared" si="3"/>
        <v>175.12</v>
      </c>
      <c r="AH42" s="252">
        <f t="shared" si="4"/>
        <v>191.04</v>
      </c>
      <c r="AI42" s="252">
        <f t="shared" si="5"/>
        <v>238.8</v>
      </c>
      <c r="AJ42" s="252">
        <f t="shared" si="6"/>
        <v>167.16</v>
      </c>
      <c r="AK42" s="252">
        <f t="shared" si="7"/>
        <v>199</v>
      </c>
    </row>
    <row r="43" spans="1:37" ht="20.25" customHeight="1">
      <c r="A43" s="363">
        <f t="shared" si="10"/>
        <v>32</v>
      </c>
      <c r="B43" s="296" t="s">
        <v>5254</v>
      </c>
      <c r="C43" s="362">
        <v>9.35</v>
      </c>
      <c r="D43" s="374" t="s">
        <v>769</v>
      </c>
      <c r="H43" s="358" t="s">
        <v>1586</v>
      </c>
      <c r="T43" s="512"/>
      <c r="U43" s="513" t="s">
        <v>6020</v>
      </c>
      <c r="V43" s="513" t="s">
        <v>2151</v>
      </c>
      <c r="W43" s="520" t="str">
        <f>W11</f>
        <v>Uchimalaikuppam</v>
      </c>
      <c r="X43" s="512">
        <f>'lead  charge'!P13</f>
        <v>32</v>
      </c>
      <c r="Y43" s="598">
        <v>123.7</v>
      </c>
      <c r="Z43" s="932">
        <f>'lead  charge'!Q13</f>
        <v>219.1</v>
      </c>
      <c r="AA43" s="520">
        <v>0</v>
      </c>
      <c r="AB43" s="513">
        <v>0</v>
      </c>
      <c r="AC43" s="513">
        <f t="shared" si="11"/>
        <v>342.8</v>
      </c>
      <c r="AD43" s="940" t="s">
        <v>2262</v>
      </c>
      <c r="AE43" s="51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0.25"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12"/>
      <c r="U44" s="513" t="s">
        <v>4570</v>
      </c>
      <c r="V44" s="513" t="s">
        <v>2151</v>
      </c>
      <c r="W44" s="520" t="str">
        <f>W43</f>
        <v>Uchimalaikuppam</v>
      </c>
      <c r="X44" s="512">
        <f>X11</f>
        <v>32</v>
      </c>
      <c r="Y44" s="598">
        <f>ROUND((687+1016)/2,2)</f>
        <v>851.5</v>
      </c>
      <c r="Z44" s="932">
        <f>Z11</f>
        <v>318.94</v>
      </c>
      <c r="AA44" s="520">
        <v>0</v>
      </c>
      <c r="AB44" s="513">
        <v>0</v>
      </c>
      <c r="AC44" s="513">
        <f t="shared" si="11"/>
        <v>1170.44</v>
      </c>
      <c r="AD44" s="940" t="s">
        <v>5255</v>
      </c>
      <c r="AE44" s="512">
        <f t="shared" si="2"/>
        <v>119.85</v>
      </c>
      <c r="AF44" s="362">
        <v>119.85</v>
      </c>
      <c r="AG44" s="252">
        <f t="shared" si="3"/>
        <v>131.84</v>
      </c>
      <c r="AH44" s="252">
        <f t="shared" si="4"/>
        <v>143.82</v>
      </c>
      <c r="AI44" s="252">
        <f t="shared" si="5"/>
        <v>179.78</v>
      </c>
      <c r="AJ44" s="252">
        <f t="shared" si="6"/>
        <v>125.84</v>
      </c>
      <c r="AK44" s="252">
        <f t="shared" si="7"/>
        <v>149.81</v>
      </c>
    </row>
    <row r="45" spans="1:37" ht="20.25" customHeight="1">
      <c r="A45" s="363">
        <f t="shared" si="10"/>
        <v>34</v>
      </c>
      <c r="B45" s="296" t="s">
        <v>1912</v>
      </c>
      <c r="C45" s="362">
        <v>11.2</v>
      </c>
      <c r="D45" s="374" t="s">
        <v>769</v>
      </c>
      <c r="F45" s="252">
        <v>1</v>
      </c>
      <c r="G45" s="252" t="s">
        <v>869</v>
      </c>
      <c r="H45" s="296" t="s">
        <v>870</v>
      </c>
      <c r="I45" s="252">
        <f>I36</f>
        <v>1741.58</v>
      </c>
      <c r="J45" s="296" t="s">
        <v>869</v>
      </c>
      <c r="K45" s="252">
        <f>(F45*I45)</f>
        <v>1741.58</v>
      </c>
      <c r="T45" s="512"/>
      <c r="U45" s="513" t="s">
        <v>6021</v>
      </c>
      <c r="V45" s="512"/>
      <c r="W45" s="520">
        <f>W41</f>
        <v>0</v>
      </c>
      <c r="X45" s="512">
        <f>'lead  charge'!M10</f>
        <v>0</v>
      </c>
      <c r="Y45" s="598">
        <v>6595</v>
      </c>
      <c r="Z45" s="932">
        <f>Z41</f>
        <v>0</v>
      </c>
      <c r="AA45" s="512"/>
      <c r="AB45" s="512"/>
      <c r="AC45" s="513">
        <f t="shared" si="11"/>
        <v>6595</v>
      </c>
      <c r="AD45" s="940" t="s">
        <v>285</v>
      </c>
      <c r="AE45" s="512">
        <f t="shared" si="2"/>
        <v>236.1</v>
      </c>
      <c r="AF45" s="362">
        <v>236.1</v>
      </c>
      <c r="AG45" s="252">
        <f t="shared" si="3"/>
        <v>259.70999999999998</v>
      </c>
      <c r="AH45" s="252">
        <f t="shared" si="4"/>
        <v>283.32</v>
      </c>
      <c r="AI45" s="252">
        <f t="shared" si="5"/>
        <v>354.15</v>
      </c>
      <c r="AJ45" s="252">
        <f t="shared" si="6"/>
        <v>247.91</v>
      </c>
      <c r="AK45" s="252">
        <f t="shared" si="7"/>
        <v>295.13</v>
      </c>
    </row>
    <row r="46" spans="1:37" ht="20.25" customHeight="1">
      <c r="A46" s="363">
        <f t="shared" si="10"/>
        <v>35</v>
      </c>
      <c r="B46" s="296" t="s">
        <v>76</v>
      </c>
      <c r="C46" s="362">
        <v>13.55</v>
      </c>
      <c r="D46" s="374" t="s">
        <v>769</v>
      </c>
      <c r="F46" s="252">
        <v>1</v>
      </c>
      <c r="G46" s="252" t="s">
        <v>869</v>
      </c>
      <c r="H46" s="296" t="s">
        <v>874</v>
      </c>
      <c r="I46" s="252">
        <f>(C18)</f>
        <v>116</v>
      </c>
      <c r="J46" s="296" t="s">
        <v>869</v>
      </c>
      <c r="K46" s="252">
        <f>(F46*I46)</f>
        <v>116</v>
      </c>
      <c r="T46" s="512"/>
      <c r="U46" s="513" t="s">
        <v>4562</v>
      </c>
      <c r="V46" s="513" t="s">
        <v>866</v>
      </c>
      <c r="W46" s="520" t="str">
        <f>W17</f>
        <v>Allapanur</v>
      </c>
      <c r="X46" s="512">
        <f>'lead  charge'!D11</f>
        <v>42</v>
      </c>
      <c r="Y46" s="933">
        <v>1338</v>
      </c>
      <c r="Z46" s="932">
        <f>'lead  charge'!E11</f>
        <v>403.58</v>
      </c>
      <c r="AA46" s="520"/>
      <c r="AB46" s="513">
        <v>0</v>
      </c>
      <c r="AC46" s="513">
        <f t="shared" si="11"/>
        <v>1741.58</v>
      </c>
      <c r="AD46" s="940" t="s">
        <v>831</v>
      </c>
      <c r="AE46" s="512">
        <f t="shared" si="2"/>
        <v>236.1</v>
      </c>
      <c r="AF46" s="362">
        <f>AF45</f>
        <v>236.1</v>
      </c>
      <c r="AG46" s="252">
        <f t="shared" si="3"/>
        <v>259.70999999999998</v>
      </c>
      <c r="AH46" s="252">
        <f t="shared" si="4"/>
        <v>283.32</v>
      </c>
      <c r="AI46" s="252">
        <f t="shared" si="5"/>
        <v>354.15</v>
      </c>
      <c r="AJ46" s="252">
        <f t="shared" si="6"/>
        <v>247.91</v>
      </c>
      <c r="AK46" s="252">
        <f t="shared" si="7"/>
        <v>295.13</v>
      </c>
    </row>
    <row r="47" spans="1:37" ht="20.25"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12"/>
      <c r="U47" s="513" t="s">
        <v>4344</v>
      </c>
      <c r="V47" s="513" t="s">
        <v>866</v>
      </c>
      <c r="W47" s="520" t="str">
        <f>W46</f>
        <v>Allapanur</v>
      </c>
      <c r="X47" s="512">
        <f>X46</f>
        <v>42</v>
      </c>
      <c r="Y47" s="933">
        <f>Y46</f>
        <v>1338</v>
      </c>
      <c r="Z47" s="932">
        <f>Z46</f>
        <v>403.58</v>
      </c>
      <c r="AA47" s="520"/>
      <c r="AB47" s="513">
        <v>0</v>
      </c>
      <c r="AC47" s="513">
        <f t="shared" si="11"/>
        <v>1741.58</v>
      </c>
      <c r="AD47" s="941"/>
      <c r="AE47" s="512">
        <f t="shared" si="2"/>
        <v>0</v>
      </c>
      <c r="AG47" s="252">
        <f t="shared" si="3"/>
        <v>0</v>
      </c>
      <c r="AH47" s="252">
        <f t="shared" si="4"/>
        <v>0</v>
      </c>
      <c r="AI47" s="252">
        <f t="shared" si="5"/>
        <v>0</v>
      </c>
      <c r="AJ47" s="252">
        <f t="shared" si="6"/>
        <v>0</v>
      </c>
      <c r="AK47" s="252">
        <f t="shared" si="7"/>
        <v>0</v>
      </c>
    </row>
    <row r="48" spans="1:37" ht="20.25" customHeight="1">
      <c r="A48" s="363">
        <f t="shared" si="10"/>
        <v>37</v>
      </c>
      <c r="B48" s="296" t="s">
        <v>1256</v>
      </c>
      <c r="C48" s="362">
        <v>23.5</v>
      </c>
      <c r="D48" s="362">
        <v>47.35</v>
      </c>
      <c r="K48" s="358" t="s">
        <v>1586</v>
      </c>
      <c r="O48" s="296" t="s">
        <v>643</v>
      </c>
      <c r="T48" s="514" t="s">
        <v>1586</v>
      </c>
      <c r="U48" s="514" t="s">
        <v>1586</v>
      </c>
      <c r="V48" s="514" t="s">
        <v>1586</v>
      </c>
      <c r="W48" s="514" t="s">
        <v>1586</v>
      </c>
      <c r="X48" s="514" t="s">
        <v>1586</v>
      </c>
      <c r="Y48" s="514" t="s">
        <v>1586</v>
      </c>
      <c r="Z48" s="514" t="s">
        <v>1586</v>
      </c>
      <c r="AA48" s="514" t="s">
        <v>1586</v>
      </c>
      <c r="AB48" s="514" t="s">
        <v>1586</v>
      </c>
      <c r="AC48" s="514" t="s">
        <v>1586</v>
      </c>
      <c r="AD48" s="514" t="s">
        <v>1586</v>
      </c>
      <c r="AE48" s="512" t="str">
        <f t="shared" si="2"/>
        <v>-</v>
      </c>
      <c r="AF48" s="358" t="s">
        <v>1586</v>
      </c>
      <c r="AG48" s="252">
        <f t="shared" si="3"/>
        <v>0</v>
      </c>
      <c r="AH48" s="252">
        <f t="shared" si="4"/>
        <v>0</v>
      </c>
      <c r="AI48" s="252">
        <f t="shared" si="5"/>
        <v>0</v>
      </c>
      <c r="AJ48" s="252">
        <f t="shared" si="6"/>
        <v>0</v>
      </c>
      <c r="AK48" s="252">
        <f t="shared" si="7"/>
        <v>0</v>
      </c>
    </row>
    <row r="49" spans="1:45" ht="20.25" customHeight="1">
      <c r="A49" s="363">
        <f t="shared" si="10"/>
        <v>38</v>
      </c>
      <c r="B49" s="296" t="s">
        <v>1706</v>
      </c>
      <c r="C49" s="362">
        <v>25.5</v>
      </c>
      <c r="D49" s="362">
        <v>33.200000000000003</v>
      </c>
      <c r="H49" s="296" t="s">
        <v>1516</v>
      </c>
      <c r="K49" s="274">
        <f>SUM(K44:K47)</f>
        <v>3597.1</v>
      </c>
      <c r="O49" s="358" t="s">
        <v>1586</v>
      </c>
      <c r="T49" s="512"/>
      <c r="U49" s="512"/>
      <c r="V49" s="512"/>
      <c r="W49" s="520"/>
      <c r="X49" s="512"/>
      <c r="Y49" s="512"/>
      <c r="Z49" s="932"/>
      <c r="AA49" s="512"/>
      <c r="AB49" s="512"/>
      <c r="AC49" s="512"/>
      <c r="AD49" s="940"/>
      <c r="AE49" s="512"/>
      <c r="AF49" s="362">
        <v>4.2</v>
      </c>
      <c r="AG49" s="252">
        <f t="shared" si="3"/>
        <v>4.62</v>
      </c>
      <c r="AH49" s="252">
        <f t="shared" si="4"/>
        <v>5.04</v>
      </c>
      <c r="AI49" s="252">
        <f t="shared" si="5"/>
        <v>6.3</v>
      </c>
      <c r="AJ49" s="252">
        <f t="shared" si="6"/>
        <v>4.41</v>
      </c>
      <c r="AK49" s="252">
        <f t="shared" si="7"/>
        <v>5.25</v>
      </c>
    </row>
    <row r="50" spans="1:45" ht="20.25" customHeight="1">
      <c r="A50" s="363">
        <f t="shared" si="10"/>
        <v>39</v>
      </c>
      <c r="B50" s="296" t="s">
        <v>4025</v>
      </c>
      <c r="C50" s="362">
        <v>13.35</v>
      </c>
      <c r="D50" s="374" t="s">
        <v>769</v>
      </c>
      <c r="K50" s="358" t="s">
        <v>1586</v>
      </c>
      <c r="M50" s="252">
        <v>9</v>
      </c>
      <c r="N50" s="296" t="s">
        <v>869</v>
      </c>
      <c r="O50" s="296" t="s">
        <v>643</v>
      </c>
      <c r="P50" s="252">
        <f>(C81)</f>
        <v>720.98</v>
      </c>
      <c r="Q50" s="296" t="s">
        <v>869</v>
      </c>
      <c r="R50" s="252">
        <f>(M50*P50)</f>
        <v>6488.82</v>
      </c>
      <c r="T50" s="512"/>
      <c r="U50" s="512" t="s">
        <v>6367</v>
      </c>
      <c r="V50" s="512"/>
      <c r="W50" s="520"/>
      <c r="X50" s="512"/>
      <c r="Y50" s="512"/>
      <c r="Z50" s="932"/>
      <c r="AA50" s="512"/>
      <c r="AB50" s="512"/>
      <c r="AC50" s="512"/>
      <c r="AD50" s="940"/>
      <c r="AE50" s="512"/>
      <c r="AF50" s="362">
        <v>5.25</v>
      </c>
      <c r="AG50" s="252">
        <f t="shared" si="3"/>
        <v>5.78</v>
      </c>
      <c r="AH50" s="252">
        <f t="shared" si="4"/>
        <v>6.3</v>
      </c>
      <c r="AI50" s="252">
        <f t="shared" si="5"/>
        <v>7.88</v>
      </c>
      <c r="AJ50" s="252">
        <f t="shared" si="6"/>
        <v>5.51</v>
      </c>
      <c r="AK50" s="252">
        <f t="shared" si="7"/>
        <v>6.56</v>
      </c>
    </row>
    <row r="51" spans="1:45" ht="20.25" customHeight="1">
      <c r="A51" s="363">
        <f t="shared" si="10"/>
        <v>40</v>
      </c>
      <c r="B51" s="296" t="s">
        <v>1630</v>
      </c>
      <c r="C51" s="362">
        <v>13.5</v>
      </c>
      <c r="D51" s="374" t="s">
        <v>769</v>
      </c>
      <c r="G51" s="252" t="s">
        <v>2251</v>
      </c>
      <c r="H51" s="296" t="s">
        <v>1631</v>
      </c>
      <c r="M51" s="252">
        <v>4.5</v>
      </c>
      <c r="N51" s="296" t="s">
        <v>869</v>
      </c>
      <c r="O51" s="296" t="s">
        <v>1632</v>
      </c>
      <c r="P51" s="252">
        <f>(K77)</f>
        <v>2944.78</v>
      </c>
      <c r="Q51" s="296" t="s">
        <v>869</v>
      </c>
      <c r="R51" s="252">
        <f>(M51*P51)</f>
        <v>13251.51</v>
      </c>
      <c r="T51" s="512"/>
      <c r="U51" s="512" t="s">
        <v>6378</v>
      </c>
      <c r="V51" s="512"/>
      <c r="W51" s="520"/>
      <c r="X51" s="512"/>
      <c r="Y51" s="512"/>
      <c r="Z51" s="932"/>
      <c r="AA51" s="512"/>
      <c r="AB51" s="512"/>
      <c r="AC51" s="512"/>
      <c r="AD51" s="940"/>
      <c r="AE51" s="512"/>
      <c r="AF51" s="362"/>
      <c r="AG51" s="252">
        <f t="shared" si="3"/>
        <v>0</v>
      </c>
      <c r="AH51" s="252">
        <f t="shared" si="4"/>
        <v>0</v>
      </c>
      <c r="AI51" s="252">
        <f t="shared" si="5"/>
        <v>0</v>
      </c>
      <c r="AJ51" s="252">
        <f t="shared" si="6"/>
        <v>0</v>
      </c>
      <c r="AK51" s="252">
        <f t="shared" si="7"/>
        <v>0</v>
      </c>
    </row>
    <row r="52" spans="1:45" ht="20.25"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12"/>
      <c r="U52" s="512"/>
      <c r="V52" s="512"/>
      <c r="W52" s="520"/>
      <c r="X52" s="512"/>
      <c r="Y52" s="512"/>
      <c r="Z52" s="932"/>
      <c r="AA52" s="512"/>
      <c r="AB52" s="512"/>
      <c r="AC52" s="512"/>
      <c r="AD52" s="940"/>
      <c r="AE52" s="512"/>
      <c r="AF52" s="362">
        <v>214.1</v>
      </c>
      <c r="AG52" s="252">
        <f t="shared" si="3"/>
        <v>235.51</v>
      </c>
      <c r="AH52" s="252">
        <f t="shared" si="4"/>
        <v>256.92</v>
      </c>
      <c r="AI52" s="252">
        <f t="shared" si="5"/>
        <v>321.14999999999998</v>
      </c>
      <c r="AJ52" s="252">
        <f t="shared" si="6"/>
        <v>224.81</v>
      </c>
      <c r="AK52" s="252">
        <f t="shared" si="7"/>
        <v>267.63</v>
      </c>
    </row>
    <row r="53" spans="1:45" ht="20.25"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12"/>
      <c r="U53" s="512"/>
      <c r="V53" s="512"/>
      <c r="W53" s="520"/>
      <c r="X53" s="512"/>
      <c r="Y53" s="512"/>
      <c r="Z53" s="932"/>
      <c r="AA53" s="512"/>
      <c r="AB53" s="512"/>
      <c r="AC53" s="512"/>
      <c r="AD53" s="940"/>
      <c r="AE53" s="512"/>
      <c r="AF53" s="362">
        <v>330.2</v>
      </c>
      <c r="AG53" s="252">
        <f t="shared" si="3"/>
        <v>363.22</v>
      </c>
      <c r="AH53" s="252">
        <f t="shared" si="4"/>
        <v>396.24</v>
      </c>
      <c r="AI53" s="252">
        <f t="shared" si="5"/>
        <v>495.3</v>
      </c>
      <c r="AJ53" s="252">
        <f t="shared" si="6"/>
        <v>346.71</v>
      </c>
      <c r="AK53" s="252">
        <f t="shared" si="7"/>
        <v>412.75</v>
      </c>
    </row>
    <row r="54" spans="1:45" ht="20.25" customHeight="1">
      <c r="A54" s="363">
        <f t="shared" si="10"/>
        <v>43</v>
      </c>
      <c r="B54" s="296" t="s">
        <v>319</v>
      </c>
      <c r="C54" s="362">
        <v>42.65</v>
      </c>
      <c r="D54" s="362">
        <v>72.150000000000006</v>
      </c>
      <c r="F54" s="252">
        <v>1</v>
      </c>
      <c r="G54" s="252" t="s">
        <v>869</v>
      </c>
      <c r="H54" s="296" t="s">
        <v>870</v>
      </c>
      <c r="I54" s="252">
        <f>(C78)</f>
        <v>1741.58</v>
      </c>
      <c r="J54" s="296" t="s">
        <v>869</v>
      </c>
      <c r="K54" s="252">
        <f>(F54*I54)</f>
        <v>1741.58</v>
      </c>
      <c r="M54" s="252">
        <v>14.1</v>
      </c>
      <c r="N54" s="296" t="s">
        <v>868</v>
      </c>
      <c r="O54" s="296" t="s">
        <v>320</v>
      </c>
      <c r="P54" s="252">
        <f>(C13)</f>
        <v>534</v>
      </c>
      <c r="Q54" s="296" t="s">
        <v>868</v>
      </c>
      <c r="R54" s="252">
        <f>(M54*P54)</f>
        <v>7529.4</v>
      </c>
      <c r="T54" s="512"/>
      <c r="U54" s="512"/>
      <c r="V54" s="512"/>
      <c r="W54" s="520"/>
      <c r="X54" s="512"/>
      <c r="Y54" s="512"/>
      <c r="Z54" s="932"/>
      <c r="AA54" s="512"/>
      <c r="AB54" s="512"/>
      <c r="AC54" s="512"/>
      <c r="AD54" s="940"/>
      <c r="AE54" s="512"/>
      <c r="AF54" s="362">
        <v>9.1</v>
      </c>
      <c r="AG54" s="252">
        <f t="shared" si="3"/>
        <v>10.01</v>
      </c>
      <c r="AH54" s="252">
        <f t="shared" si="4"/>
        <v>10.92</v>
      </c>
      <c r="AI54" s="252">
        <f t="shared" si="5"/>
        <v>13.65</v>
      </c>
      <c r="AJ54" s="252">
        <f t="shared" si="6"/>
        <v>9.56</v>
      </c>
      <c r="AK54" s="252">
        <f t="shared" si="7"/>
        <v>11.38</v>
      </c>
    </row>
    <row r="55" spans="1:45" ht="20.25"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12"/>
      <c r="U55" s="512"/>
      <c r="V55" s="512"/>
      <c r="W55" s="520"/>
      <c r="X55" s="512"/>
      <c r="Y55" s="512"/>
      <c r="Z55" s="932"/>
      <c r="AA55" s="512"/>
      <c r="AB55" s="512"/>
      <c r="AC55" s="512"/>
      <c r="AD55" s="940"/>
      <c r="AE55" s="512"/>
      <c r="AF55" s="362">
        <v>9.85</v>
      </c>
      <c r="AG55" s="252">
        <f t="shared" si="3"/>
        <v>10.84</v>
      </c>
      <c r="AH55" s="252">
        <f t="shared" si="4"/>
        <v>11.82</v>
      </c>
      <c r="AI55" s="252">
        <f t="shared" si="5"/>
        <v>14.78</v>
      </c>
      <c r="AJ55" s="252">
        <f t="shared" si="6"/>
        <v>10.34</v>
      </c>
      <c r="AK55" s="252">
        <f t="shared" si="7"/>
        <v>12.31</v>
      </c>
    </row>
    <row r="56" spans="1:45" ht="20.25" customHeight="1">
      <c r="A56" s="363">
        <f t="shared" si="10"/>
        <v>45</v>
      </c>
      <c r="B56" s="296" t="s">
        <v>323</v>
      </c>
      <c r="C56" s="314">
        <v>12.1</v>
      </c>
      <c r="D56" s="365" t="s">
        <v>449</v>
      </c>
      <c r="G56" s="252" t="s">
        <v>449</v>
      </c>
      <c r="H56" s="296" t="s">
        <v>450</v>
      </c>
      <c r="I56" s="296" t="s">
        <v>975</v>
      </c>
      <c r="J56" s="296" t="s">
        <v>449</v>
      </c>
      <c r="K56" s="252">
        <v>0</v>
      </c>
      <c r="R56" s="358" t="s">
        <v>1586</v>
      </c>
      <c r="T56" s="512"/>
      <c r="U56" s="512"/>
      <c r="V56" s="512"/>
      <c r="W56" s="520"/>
      <c r="X56" s="512"/>
      <c r="Y56" s="512"/>
      <c r="Z56" s="512"/>
      <c r="AA56" s="512"/>
      <c r="AB56" s="512"/>
      <c r="AC56" s="512"/>
      <c r="AD56" s="940"/>
      <c r="AE56" s="512"/>
      <c r="AF56" s="362">
        <v>10.199999999999999</v>
      </c>
      <c r="AG56" s="252">
        <f t="shared" si="3"/>
        <v>11.22</v>
      </c>
      <c r="AH56" s="252">
        <f t="shared" si="4"/>
        <v>12.24</v>
      </c>
      <c r="AI56" s="252">
        <f t="shared" si="5"/>
        <v>15.3</v>
      </c>
      <c r="AJ56" s="252">
        <f t="shared" si="6"/>
        <v>10.71</v>
      </c>
      <c r="AK56" s="252">
        <f t="shared" si="7"/>
        <v>12.75</v>
      </c>
    </row>
    <row r="57" spans="1:45" ht="20.25" customHeight="1">
      <c r="A57" s="363">
        <f t="shared" si="10"/>
        <v>46</v>
      </c>
      <c r="B57" s="296" t="s">
        <v>5256</v>
      </c>
      <c r="C57" s="362">
        <f>228.6/8</f>
        <v>28.58</v>
      </c>
      <c r="D57" s="365" t="s">
        <v>449</v>
      </c>
      <c r="K57" s="358" t="s">
        <v>1586</v>
      </c>
      <c r="O57" s="296" t="s">
        <v>614</v>
      </c>
      <c r="R57" s="252">
        <f>SUM(R50:R55)</f>
        <v>40470.03</v>
      </c>
      <c r="T57" s="512"/>
      <c r="U57" s="512"/>
      <c r="V57" s="512"/>
      <c r="W57" s="520"/>
      <c r="X57" s="512"/>
      <c r="Y57" s="512"/>
      <c r="Z57" s="512"/>
      <c r="AA57" s="512"/>
      <c r="AB57" s="512"/>
      <c r="AC57" s="512"/>
      <c r="AD57" s="940"/>
      <c r="AE57" s="512"/>
      <c r="AF57" s="362">
        <v>1547</v>
      </c>
      <c r="AG57" s="252">
        <f t="shared" si="3"/>
        <v>1701.7</v>
      </c>
      <c r="AH57" s="252">
        <f t="shared" si="4"/>
        <v>1856.4</v>
      </c>
      <c r="AI57" s="252">
        <f t="shared" si="5"/>
        <v>2320.5</v>
      </c>
      <c r="AJ57" s="252">
        <f t="shared" si="6"/>
        <v>1624.35</v>
      </c>
      <c r="AK57" s="252">
        <f t="shared" si="7"/>
        <v>1933.75</v>
      </c>
    </row>
    <row r="58" spans="1:45" ht="20.25" customHeight="1">
      <c r="A58" s="363">
        <f t="shared" si="10"/>
        <v>47</v>
      </c>
      <c r="B58" s="296" t="s">
        <v>5817</v>
      </c>
      <c r="C58" s="362">
        <v>11.9</v>
      </c>
      <c r="D58" s="365" t="s">
        <v>5818</v>
      </c>
      <c r="H58" s="296" t="s">
        <v>1516</v>
      </c>
      <c r="K58" s="274">
        <f>SUM(K53:K56)</f>
        <v>3307.18</v>
      </c>
      <c r="R58" s="358" t="s">
        <v>1586</v>
      </c>
      <c r="T58" s="512"/>
      <c r="U58" s="512"/>
      <c r="V58" s="512"/>
      <c r="W58" s="520"/>
      <c r="X58" s="512"/>
      <c r="Y58" s="512"/>
      <c r="Z58" s="512"/>
      <c r="AA58" s="512"/>
      <c r="AB58" s="512"/>
      <c r="AC58" s="512"/>
      <c r="AD58" s="513"/>
      <c r="AE58" s="512"/>
      <c r="AF58" s="362">
        <v>1436</v>
      </c>
      <c r="AG58" s="252">
        <f t="shared" si="3"/>
        <v>1579.6</v>
      </c>
      <c r="AH58" s="252">
        <f t="shared" si="4"/>
        <v>1723.2</v>
      </c>
      <c r="AI58" s="252">
        <f t="shared" si="5"/>
        <v>2154</v>
      </c>
      <c r="AJ58" s="252">
        <f t="shared" si="6"/>
        <v>1507.8</v>
      </c>
      <c r="AK58" s="252">
        <f t="shared" si="7"/>
        <v>1795</v>
      </c>
    </row>
    <row r="59" spans="1:45" ht="20.25" customHeight="1">
      <c r="A59" s="364"/>
      <c r="C59" s="364"/>
      <c r="D59" s="364"/>
      <c r="F59" s="296" t="s">
        <v>975</v>
      </c>
      <c r="T59" s="512"/>
      <c r="U59" s="512"/>
      <c r="V59" s="512"/>
      <c r="W59" s="520"/>
      <c r="X59" s="512"/>
      <c r="Y59" s="512"/>
      <c r="Z59" s="512"/>
      <c r="AA59" s="512"/>
      <c r="AB59" s="512"/>
      <c r="AC59" s="512"/>
      <c r="AD59" s="513"/>
      <c r="AE59" s="512"/>
      <c r="AF59" s="370">
        <v>10.55</v>
      </c>
      <c r="AG59" s="252">
        <f t="shared" si="3"/>
        <v>11.61</v>
      </c>
      <c r="AH59" s="252">
        <f t="shared" si="4"/>
        <v>12.66</v>
      </c>
      <c r="AI59" s="252">
        <f t="shared" si="5"/>
        <v>15.83</v>
      </c>
      <c r="AJ59" s="252">
        <f t="shared" si="6"/>
        <v>11.08</v>
      </c>
      <c r="AK59" s="252">
        <f t="shared" si="7"/>
        <v>13.19</v>
      </c>
      <c r="AP59" s="274" t="s">
        <v>4342</v>
      </c>
    </row>
    <row r="60" spans="1:45" ht="20.25" customHeight="1">
      <c r="A60" s="363">
        <f>(A58+1)</f>
        <v>48</v>
      </c>
      <c r="B60" s="296" t="s">
        <v>5257</v>
      </c>
      <c r="C60" s="362">
        <v>32</v>
      </c>
      <c r="D60" s="296" t="s">
        <v>2077</v>
      </c>
      <c r="K60" s="358" t="s">
        <v>1586</v>
      </c>
      <c r="O60" s="296" t="s">
        <v>773</v>
      </c>
      <c r="R60" s="252">
        <f>(R57/10)</f>
        <v>4047</v>
      </c>
      <c r="T60" s="512"/>
      <c r="U60" s="512"/>
      <c r="V60" s="512"/>
      <c r="W60" s="520"/>
      <c r="X60" s="512"/>
      <c r="Y60" s="512"/>
      <c r="Z60" s="512"/>
      <c r="AA60" s="512"/>
      <c r="AB60" s="512"/>
      <c r="AC60" s="512"/>
      <c r="AD60" s="513"/>
      <c r="AE60" s="512"/>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0.25" customHeight="1">
      <c r="A61" s="363">
        <f t="shared" ref="A61:A91" si="12">(A60+1)</f>
        <v>49</v>
      </c>
      <c r="B61" s="296" t="s">
        <v>5258</v>
      </c>
      <c r="C61" s="252">
        <f>AE29</f>
        <v>112.05</v>
      </c>
      <c r="D61" s="252">
        <f>AE36</f>
        <v>166.9</v>
      </c>
      <c r="G61" s="252" t="s">
        <v>2251</v>
      </c>
      <c r="H61" s="296" t="s">
        <v>2079</v>
      </c>
      <c r="R61" s="358" t="s">
        <v>2055</v>
      </c>
      <c r="T61" s="512"/>
      <c r="U61" s="512"/>
      <c r="V61" s="512"/>
      <c r="W61" s="520"/>
      <c r="X61" s="512"/>
      <c r="Y61" s="512"/>
      <c r="Z61" s="512"/>
      <c r="AA61" s="512"/>
      <c r="AB61" s="512"/>
      <c r="AC61" s="512"/>
      <c r="AD61" s="512"/>
      <c r="AE61" s="512"/>
      <c r="AG61" s="252">
        <f t="shared" si="3"/>
        <v>0</v>
      </c>
      <c r="AH61" s="252">
        <f t="shared" si="4"/>
        <v>0</v>
      </c>
      <c r="AI61" s="252">
        <f t="shared" si="5"/>
        <v>0</v>
      </c>
      <c r="AJ61" s="252">
        <f t="shared" si="6"/>
        <v>0</v>
      </c>
      <c r="AK61" s="252">
        <f t="shared" si="7"/>
        <v>0</v>
      </c>
      <c r="AP61" s="296" t="s">
        <v>3745</v>
      </c>
      <c r="AR61" s="296"/>
    </row>
    <row r="62" spans="1:45" ht="20.25" customHeight="1">
      <c r="A62" s="363">
        <f t="shared" si="12"/>
        <v>50</v>
      </c>
      <c r="B62" s="296" t="s">
        <v>5259</v>
      </c>
      <c r="C62" s="362">
        <v>708</v>
      </c>
      <c r="D62" s="296" t="s">
        <v>868</v>
      </c>
      <c r="H62" s="358" t="s">
        <v>1586</v>
      </c>
      <c r="N62" s="296" t="s">
        <v>2251</v>
      </c>
      <c r="O62" s="296" t="s">
        <v>1357</v>
      </c>
      <c r="T62" s="512"/>
      <c r="U62" s="512"/>
      <c r="V62" s="512"/>
      <c r="W62" s="520"/>
      <c r="X62" s="512"/>
      <c r="Y62" s="512"/>
      <c r="Z62" s="512"/>
      <c r="AA62" s="512"/>
      <c r="AB62" s="512"/>
      <c r="AC62" s="512"/>
      <c r="AD62" s="942"/>
      <c r="AE62" s="512"/>
      <c r="AF62" s="252">
        <v>6380</v>
      </c>
      <c r="AG62" s="252">
        <f t="shared" si="3"/>
        <v>7018</v>
      </c>
      <c r="AH62" s="252">
        <f t="shared" si="4"/>
        <v>7656</v>
      </c>
      <c r="AI62" s="252">
        <f t="shared" si="5"/>
        <v>9570</v>
      </c>
      <c r="AJ62" s="252">
        <f t="shared" si="6"/>
        <v>6699</v>
      </c>
      <c r="AK62" s="252">
        <f t="shared" si="7"/>
        <v>7975</v>
      </c>
      <c r="AP62" s="358" t="s">
        <v>1586</v>
      </c>
      <c r="AR62" s="296"/>
    </row>
    <row r="63" spans="1:45" ht="20.25"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12"/>
      <c r="U63" s="512"/>
      <c r="V63" s="512"/>
      <c r="W63" s="520"/>
      <c r="X63" s="512"/>
      <c r="Y63" s="512"/>
      <c r="Z63" s="512"/>
      <c r="AA63" s="512"/>
      <c r="AB63" s="943"/>
      <c r="AC63" s="512"/>
      <c r="AD63" s="944"/>
      <c r="AE63" s="512"/>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0.25" customHeight="1">
      <c r="A64" s="363">
        <f t="shared" si="12"/>
        <v>52</v>
      </c>
      <c r="B64" s="296" t="s">
        <v>5260</v>
      </c>
      <c r="C64" s="362">
        <v>280.60000000000002</v>
      </c>
      <c r="D64" s="296" t="s">
        <v>869</v>
      </c>
      <c r="F64" s="252">
        <v>1</v>
      </c>
      <c r="G64" s="252" t="s">
        <v>869</v>
      </c>
      <c r="H64" s="296" t="s">
        <v>870</v>
      </c>
      <c r="I64" s="252">
        <f>(C78)</f>
        <v>1741.58</v>
      </c>
      <c r="J64" s="296" t="s">
        <v>869</v>
      </c>
      <c r="K64" s="252">
        <f>(F64*I64)</f>
        <v>1741.58</v>
      </c>
      <c r="O64" s="358" t="s">
        <v>1586</v>
      </c>
      <c r="T64" s="512"/>
      <c r="U64" s="512"/>
      <c r="V64" s="512"/>
      <c r="W64" s="520"/>
      <c r="X64" s="512"/>
      <c r="Y64" s="512"/>
      <c r="Z64" s="512"/>
      <c r="AA64" s="512"/>
      <c r="AB64" s="512"/>
      <c r="AC64" s="512"/>
      <c r="AD64" s="944"/>
      <c r="AE64" s="512"/>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3597.1</v>
      </c>
      <c r="AR64" s="296" t="s">
        <v>869</v>
      </c>
      <c r="AS64" s="252">
        <f>(AN64*AQ64)</f>
        <v>2546.75</v>
      </c>
    </row>
    <row r="65" spans="1:45" s="288" customFormat="1" ht="20.25" customHeight="1">
      <c r="A65" s="379">
        <f t="shared" si="12"/>
        <v>53</v>
      </c>
      <c r="B65" s="371" t="s">
        <v>5819</v>
      </c>
      <c r="C65" s="380">
        <v>391.1</v>
      </c>
      <c r="D65" s="371" t="s">
        <v>1359</v>
      </c>
      <c r="F65" s="288">
        <v>1</v>
      </c>
      <c r="G65" s="288" t="s">
        <v>869</v>
      </c>
      <c r="H65" s="371" t="s">
        <v>874</v>
      </c>
      <c r="I65" s="288">
        <f>(C18)</f>
        <v>116</v>
      </c>
      <c r="J65" s="371" t="s">
        <v>869</v>
      </c>
      <c r="K65" s="288">
        <f>(F65*I65)</f>
        <v>116</v>
      </c>
      <c r="M65" s="288">
        <v>9</v>
      </c>
      <c r="N65" s="371" t="s">
        <v>869</v>
      </c>
      <c r="O65" s="371" t="s">
        <v>1487</v>
      </c>
      <c r="P65" s="288">
        <f>(C73)</f>
        <v>1807.94</v>
      </c>
      <c r="Q65" s="371" t="s">
        <v>869</v>
      </c>
      <c r="R65" s="288">
        <f>(M65*P65)</f>
        <v>16271.46</v>
      </c>
      <c r="S65" s="381"/>
      <c r="U65" s="288" t="s">
        <v>5820</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0.25"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6206.38</v>
      </c>
      <c r="Q66" s="296" t="s">
        <v>869</v>
      </c>
      <c r="R66" s="252">
        <f>(M66*P66)</f>
        <v>27928.71</v>
      </c>
      <c r="U66" s="252" t="s">
        <v>5821</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20.2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5822</v>
      </c>
      <c r="V67" s="252" t="s">
        <v>2196</v>
      </c>
      <c r="W67" s="383">
        <v>370.25</v>
      </c>
      <c r="AD67" s="378" t="s">
        <v>6030</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0.25" customHeight="1">
      <c r="A68" s="363">
        <f t="shared" si="12"/>
        <v>56</v>
      </c>
      <c r="B68" s="296" t="s">
        <v>1495</v>
      </c>
      <c r="C68" s="252">
        <f t="shared" ref="C68:C74" si="13">AC9</f>
        <v>768.34</v>
      </c>
      <c r="D68" s="296" t="s">
        <v>869</v>
      </c>
      <c r="H68" s="296" t="s">
        <v>1516</v>
      </c>
      <c r="K68" s="274">
        <f>SUM(K63:K66)</f>
        <v>3101.82</v>
      </c>
      <c r="M68" s="252">
        <v>17.7</v>
      </c>
      <c r="N68" s="296" t="s">
        <v>868</v>
      </c>
      <c r="O68" s="296" t="s">
        <v>1902</v>
      </c>
      <c r="P68" s="252">
        <f>(C12)</f>
        <v>651</v>
      </c>
      <c r="Q68" s="296" t="s">
        <v>868</v>
      </c>
      <c r="R68" s="252">
        <f>(M68*P68)</f>
        <v>11522.7</v>
      </c>
      <c r="U68" s="252" t="s">
        <v>5823</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0.25" customHeight="1">
      <c r="A69" s="363">
        <f t="shared" si="12"/>
        <v>57</v>
      </c>
      <c r="B69" s="296" t="s">
        <v>872</v>
      </c>
      <c r="C69" s="252">
        <f t="shared" si="13"/>
        <v>967.34</v>
      </c>
      <c r="D69" s="296" t="s">
        <v>869</v>
      </c>
      <c r="K69" s="358" t="s">
        <v>1586</v>
      </c>
      <c r="M69" s="252">
        <v>14.1</v>
      </c>
      <c r="N69" s="296" t="s">
        <v>868</v>
      </c>
      <c r="O69" s="296" t="s">
        <v>320</v>
      </c>
      <c r="P69" s="252">
        <f>(C13)</f>
        <v>534</v>
      </c>
      <c r="Q69" s="296" t="s">
        <v>868</v>
      </c>
      <c r="R69" s="252">
        <f>(M69*P69)</f>
        <v>7529.4</v>
      </c>
      <c r="U69" s="252" t="s">
        <v>5824</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0.25" customHeight="1">
      <c r="A70" s="363">
        <f t="shared" si="12"/>
        <v>58</v>
      </c>
      <c r="B70" s="296" t="s">
        <v>1496</v>
      </c>
      <c r="C70" s="252">
        <f t="shared" si="13"/>
        <v>1092.6099999999999</v>
      </c>
      <c r="D70" s="296" t="s">
        <v>869</v>
      </c>
      <c r="G70" s="252" t="s">
        <v>2251</v>
      </c>
      <c r="H70" s="296" t="s">
        <v>1632</v>
      </c>
      <c r="N70" s="296" t="s">
        <v>449</v>
      </c>
      <c r="O70" s="296" t="s">
        <v>450</v>
      </c>
      <c r="Q70" s="296" t="s">
        <v>449</v>
      </c>
      <c r="R70" s="252">
        <v>0</v>
      </c>
      <c r="U70" s="252" t="s">
        <v>5825</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0.25" customHeight="1">
      <c r="A71" s="363">
        <f t="shared" si="12"/>
        <v>59</v>
      </c>
      <c r="B71" s="296" t="s">
        <v>1497</v>
      </c>
      <c r="C71" s="252">
        <f t="shared" si="13"/>
        <v>1334.94</v>
      </c>
      <c r="D71" s="296" t="s">
        <v>869</v>
      </c>
      <c r="H71" s="358" t="s">
        <v>1586</v>
      </c>
      <c r="R71" s="358" t="s">
        <v>1586</v>
      </c>
      <c r="U71" s="252" t="s">
        <v>5826</v>
      </c>
      <c r="V71" s="252" t="s">
        <v>5827</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19426.25</v>
      </c>
    </row>
    <row r="72" spans="1:45" ht="20.25" customHeight="1">
      <c r="A72" s="363">
        <f t="shared" si="12"/>
        <v>60</v>
      </c>
      <c r="B72" s="296" t="s">
        <v>1498</v>
      </c>
      <c r="C72" s="252">
        <f t="shared" si="13"/>
        <v>1700.94</v>
      </c>
      <c r="D72" s="296" t="s">
        <v>869</v>
      </c>
      <c r="F72" s="252">
        <v>0.18</v>
      </c>
      <c r="G72" s="252" t="s">
        <v>861</v>
      </c>
      <c r="H72" s="296" t="s">
        <v>862</v>
      </c>
      <c r="I72" s="252">
        <f>(C67)</f>
        <v>6040</v>
      </c>
      <c r="J72" s="296" t="s">
        <v>861</v>
      </c>
      <c r="K72" s="252">
        <f>(F72*I72)</f>
        <v>1087.2</v>
      </c>
      <c r="O72" s="296" t="s">
        <v>614</v>
      </c>
      <c r="R72" s="252">
        <f>SUM(R65:R70)</f>
        <v>64929.87</v>
      </c>
      <c r="U72" s="252" t="s">
        <v>5828</v>
      </c>
      <c r="V72" s="252" t="s">
        <v>5827</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0.25" customHeight="1">
      <c r="A73" s="363">
        <f t="shared" si="12"/>
        <v>61</v>
      </c>
      <c r="B73" s="296" t="s">
        <v>655</v>
      </c>
      <c r="C73" s="252">
        <f t="shared" si="13"/>
        <v>1807.94</v>
      </c>
      <c r="D73" s="296" t="s">
        <v>869</v>
      </c>
      <c r="F73" s="252">
        <v>1</v>
      </c>
      <c r="G73" s="252" t="s">
        <v>869</v>
      </c>
      <c r="H73" s="296" t="s">
        <v>870</v>
      </c>
      <c r="I73" s="252">
        <f>(C78)</f>
        <v>1741.58</v>
      </c>
      <c r="J73" s="296" t="s">
        <v>869</v>
      </c>
      <c r="K73" s="252">
        <f>(F73*I73)</f>
        <v>1741.58</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6860.33</v>
      </c>
    </row>
    <row r="74" spans="1:45" ht="20.25" customHeight="1">
      <c r="A74" s="363">
        <f t="shared" si="12"/>
        <v>62</v>
      </c>
      <c r="B74" s="296" t="s">
        <v>954</v>
      </c>
      <c r="C74" s="252">
        <f t="shared" si="13"/>
        <v>1388.74</v>
      </c>
      <c r="D74" s="296" t="s">
        <v>869</v>
      </c>
      <c r="F74" s="252">
        <v>1</v>
      </c>
      <c r="G74" s="252" t="s">
        <v>869</v>
      </c>
      <c r="H74" s="296" t="s">
        <v>874</v>
      </c>
      <c r="I74" s="252">
        <f>(C18)</f>
        <v>116</v>
      </c>
      <c r="J74" s="296" t="s">
        <v>869</v>
      </c>
      <c r="K74" s="252">
        <f>(F74*I74)</f>
        <v>116</v>
      </c>
      <c r="O74" s="296" t="s">
        <v>773</v>
      </c>
      <c r="R74" s="252">
        <f>(R72/10)</f>
        <v>6492.99</v>
      </c>
      <c r="U74" s="262" t="s">
        <v>5829</v>
      </c>
      <c r="V74" s="252" t="s">
        <v>5830</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0.25"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6939.23</v>
      </c>
    </row>
    <row r="76" spans="1:45" ht="20.25" customHeight="1">
      <c r="A76" s="363">
        <f t="shared" si="12"/>
        <v>64</v>
      </c>
      <c r="B76" s="296" t="s">
        <v>956</v>
      </c>
      <c r="C76" s="372">
        <v>460</v>
      </c>
      <c r="D76" s="314">
        <v>290</v>
      </c>
      <c r="E76" s="252" t="s">
        <v>4224</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7098.43</v>
      </c>
    </row>
    <row r="77" spans="1:45" ht="20.25" customHeight="1">
      <c r="A77" s="363">
        <f t="shared" si="12"/>
        <v>65</v>
      </c>
      <c r="B77" s="296" t="s">
        <v>1550</v>
      </c>
      <c r="C77" s="364">
        <f>AC34</f>
        <v>4318.6400000000003</v>
      </c>
      <c r="D77" s="365" t="s">
        <v>869</v>
      </c>
      <c r="H77" s="296" t="s">
        <v>1516</v>
      </c>
      <c r="K77" s="274">
        <f>SUM(K72:K75)</f>
        <v>2944.78</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7257.63</v>
      </c>
    </row>
    <row r="78" spans="1:45" ht="20.25" customHeight="1">
      <c r="A78" s="363">
        <f t="shared" si="12"/>
        <v>66</v>
      </c>
      <c r="B78" s="296" t="s">
        <v>1423</v>
      </c>
      <c r="C78" s="364">
        <f t="shared" ref="C78:C91" si="21">AC16</f>
        <v>1741.58</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7416.83</v>
      </c>
    </row>
    <row r="79" spans="1:45" ht="20.25" customHeight="1">
      <c r="A79" s="363">
        <f t="shared" si="12"/>
        <v>67</v>
      </c>
      <c r="B79" s="296" t="s">
        <v>1034</v>
      </c>
      <c r="C79" s="364">
        <f t="shared" si="21"/>
        <v>1741.58</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7576.03</v>
      </c>
    </row>
    <row r="80" spans="1:45" ht="20.25" customHeight="1">
      <c r="A80" s="363">
        <f t="shared" si="12"/>
        <v>68</v>
      </c>
      <c r="B80" s="296" t="s">
        <v>1480</v>
      </c>
      <c r="C80" s="364">
        <f t="shared" si="21"/>
        <v>5728.64</v>
      </c>
      <c r="D80" s="365" t="s">
        <v>1481</v>
      </c>
      <c r="F80" s="385" t="s">
        <v>975</v>
      </c>
      <c r="H80" s="296" t="s">
        <v>1482</v>
      </c>
      <c r="M80" s="252">
        <v>2.5</v>
      </c>
      <c r="N80" s="296" t="s">
        <v>869</v>
      </c>
      <c r="O80" s="296" t="s">
        <v>1625</v>
      </c>
      <c r="P80" s="252">
        <f>(K49)</f>
        <v>3597.1</v>
      </c>
      <c r="Q80" s="296" t="s">
        <v>869</v>
      </c>
      <c r="R80" s="252">
        <f>(M80*P80)</f>
        <v>8992.75</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0.25" customHeight="1">
      <c r="A81" s="363">
        <f t="shared" si="12"/>
        <v>69</v>
      </c>
      <c r="B81" s="296" t="s">
        <v>65</v>
      </c>
      <c r="C81" s="364">
        <f t="shared" si="21"/>
        <v>720.98</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0.25" customHeight="1">
      <c r="A82" s="363">
        <f t="shared" si="12"/>
        <v>70</v>
      </c>
      <c r="B82" s="296" t="s">
        <v>2010</v>
      </c>
      <c r="C82" s="364">
        <f t="shared" si="21"/>
        <v>801.98</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0.25"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0.25"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0.25" customHeight="1">
      <c r="A85" s="363">
        <f t="shared" si="12"/>
        <v>73</v>
      </c>
      <c r="B85" s="296" t="s">
        <v>2004</v>
      </c>
      <c r="C85" s="364">
        <f t="shared" si="21"/>
        <v>1016.97</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0.25"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0.25" customHeight="1">
      <c r="A87" s="363">
        <f t="shared" si="12"/>
        <v>75</v>
      </c>
      <c r="B87" s="296" t="s">
        <v>2016</v>
      </c>
      <c r="C87" s="364">
        <f t="shared" si="21"/>
        <v>39400</v>
      </c>
      <c r="D87" s="365" t="s">
        <v>869</v>
      </c>
      <c r="K87" s="358" t="s">
        <v>1586</v>
      </c>
      <c r="O87" s="296" t="s">
        <v>614</v>
      </c>
      <c r="R87" s="252">
        <f>SUM(R79:R85)</f>
        <v>68648.350000000006</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20.25"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3307.18</v>
      </c>
      <c r="AR88" s="296" t="s">
        <v>869</v>
      </c>
      <c r="AS88" s="252">
        <f>AQ88*AN88</f>
        <v>2341.48</v>
      </c>
    </row>
    <row r="89" spans="1:45" ht="20.25" customHeight="1">
      <c r="A89" s="363">
        <f t="shared" si="12"/>
        <v>77</v>
      </c>
      <c r="B89" s="296" t="s">
        <v>295</v>
      </c>
      <c r="C89" s="364">
        <f t="shared" si="21"/>
        <v>99400</v>
      </c>
      <c r="D89" s="365" t="s">
        <v>869</v>
      </c>
      <c r="I89" s="274" t="s">
        <v>1362</v>
      </c>
      <c r="J89" s="276"/>
      <c r="K89" s="360">
        <f>ROUND(K88+C36,2)</f>
        <v>237.08</v>
      </c>
      <c r="L89" s="252">
        <f>K89+C36</f>
        <v>237.08</v>
      </c>
      <c r="M89" s="252">
        <f>L89+C36</f>
        <v>237.08</v>
      </c>
      <c r="O89" s="296" t="s">
        <v>773</v>
      </c>
      <c r="R89" s="252">
        <f>(R87/10)</f>
        <v>6864.84</v>
      </c>
      <c r="V89" s="274" t="s">
        <v>1362</v>
      </c>
      <c r="W89" s="255"/>
      <c r="X89" s="360">
        <f>ROUND(X88+C36,2)</f>
        <v>161.1</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20.25"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0.25" customHeight="1">
      <c r="A91" s="363">
        <f t="shared" si="12"/>
        <v>79</v>
      </c>
      <c r="B91" s="296" t="s">
        <v>1551</v>
      </c>
      <c r="C91" s="364">
        <f t="shared" si="21"/>
        <v>4318.6400000000003</v>
      </c>
      <c r="D91" s="365" t="s">
        <v>1481</v>
      </c>
      <c r="I91" s="274" t="s">
        <v>1362</v>
      </c>
      <c r="J91" s="276"/>
      <c r="K91" s="360">
        <f>ROUND(K90+C36,2)</f>
        <v>224.1</v>
      </c>
      <c r="V91" s="274" t="s">
        <v>1362</v>
      </c>
      <c r="W91" s="255"/>
      <c r="X91" s="360">
        <f>ROUND(X90+C36,2)</f>
        <v>149.69999999999999</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0.25" customHeight="1">
      <c r="A92" s="364"/>
      <c r="B92" s="364"/>
      <c r="C92" s="364"/>
      <c r="D92" s="364"/>
      <c r="F92" s="369" t="s">
        <v>2095</v>
      </c>
      <c r="G92" s="252" t="s">
        <v>975</v>
      </c>
      <c r="H92" s="296" t="s">
        <v>6070</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0.25"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0.25"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0.25"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19215.98</v>
      </c>
    </row>
    <row r="96" spans="1:45" ht="20.25"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0.25"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6786.07</v>
      </c>
    </row>
    <row r="98" spans="1:48" ht="20.25"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0.25"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6864.97</v>
      </c>
      <c r="AU99" s="252">
        <f>AS99*22.69/100</f>
        <v>1557.66</v>
      </c>
      <c r="AV99" s="252">
        <f>AS99-AU99</f>
        <v>5307.31</v>
      </c>
    </row>
    <row r="100" spans="1:48" ht="20.25" customHeight="1">
      <c r="A100" s="364"/>
      <c r="B100" s="364"/>
      <c r="C100" s="364"/>
      <c r="D100" s="364"/>
      <c r="K100" s="358" t="s">
        <v>1586</v>
      </c>
      <c r="W100" s="253"/>
      <c r="X100" s="358"/>
      <c r="AE100" s="252">
        <f t="shared" si="14"/>
        <v>0</v>
      </c>
      <c r="AH100" s="252">
        <f t="shared" si="22"/>
        <v>0</v>
      </c>
      <c r="AP100" s="296" t="s">
        <v>388</v>
      </c>
      <c r="AR100" s="296"/>
      <c r="AS100" s="274">
        <f>(AS99+C20)</f>
        <v>7024.17</v>
      </c>
      <c r="AU100" s="252">
        <f t="shared" ref="AU100:AU163" si="23">AS100*22.69/100</f>
        <v>1593.78</v>
      </c>
      <c r="AV100" s="252">
        <f t="shared" ref="AV100:AV163" si="24">AS100-AU100</f>
        <v>5430.39</v>
      </c>
    </row>
    <row r="101" spans="1:48" ht="20.25"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7183.37</v>
      </c>
      <c r="AU101" s="252">
        <f t="shared" si="23"/>
        <v>1629.91</v>
      </c>
      <c r="AV101" s="252">
        <f t="shared" si="24"/>
        <v>5553.46</v>
      </c>
    </row>
    <row r="102" spans="1:48" ht="20.25" customHeight="1">
      <c r="A102" s="364"/>
      <c r="B102" s="364"/>
      <c r="C102" s="364"/>
      <c r="D102" s="364"/>
      <c r="I102" s="274" t="s">
        <v>1362</v>
      </c>
      <c r="J102" s="276"/>
      <c r="K102" s="360">
        <f>ROUND(K101+C36,2)</f>
        <v>346.78</v>
      </c>
      <c r="V102" s="274"/>
      <c r="W102" s="255"/>
      <c r="X102" s="360"/>
      <c r="AE102" s="252">
        <f t="shared" si="14"/>
        <v>0</v>
      </c>
      <c r="AH102" s="252">
        <f t="shared" si="22"/>
        <v>0</v>
      </c>
      <c r="AP102" s="296" t="s">
        <v>380</v>
      </c>
      <c r="AR102" s="296"/>
      <c r="AS102" s="274">
        <f>(AS101+C20)</f>
        <v>7342.57</v>
      </c>
      <c r="AU102" s="252">
        <f t="shared" si="23"/>
        <v>1666.03</v>
      </c>
      <c r="AV102" s="252">
        <f t="shared" si="24"/>
        <v>5676.54</v>
      </c>
    </row>
    <row r="103" spans="1:48" ht="20.25"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7501.77</v>
      </c>
      <c r="AU103" s="252">
        <f t="shared" si="23"/>
        <v>1702.15</v>
      </c>
      <c r="AV103" s="252">
        <f t="shared" si="24"/>
        <v>5799.62</v>
      </c>
    </row>
    <row r="104" spans="1:48" ht="20.2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7660.97</v>
      </c>
    </row>
    <row r="105" spans="1:48" ht="20.25" customHeight="1">
      <c r="A105" s="364"/>
      <c r="B105" s="364"/>
      <c r="C105" s="364"/>
      <c r="D105" s="364"/>
      <c r="I105" s="274" t="s">
        <v>1362</v>
      </c>
      <c r="J105" s="276"/>
      <c r="K105" s="360">
        <f>ROUND(K104+C36,2)</f>
        <v>333.8</v>
      </c>
      <c r="V105" s="274"/>
      <c r="W105" s="255"/>
      <c r="X105" s="360"/>
      <c r="AE105" s="252">
        <f t="shared" si="14"/>
        <v>0</v>
      </c>
      <c r="AH105" s="252">
        <f t="shared" si="22"/>
        <v>0</v>
      </c>
      <c r="AP105" s="296" t="str">
        <f>AP85</f>
        <v>Bricks of size 23x11x7 cm</v>
      </c>
      <c r="AR105" s="296"/>
    </row>
    <row r="106" spans="1:48" ht="20.25" customHeight="1">
      <c r="A106" s="364"/>
      <c r="B106" s="364"/>
      <c r="C106" s="364"/>
      <c r="D106" s="364"/>
      <c r="K106" s="358"/>
      <c r="W106" s="253"/>
      <c r="X106" s="358"/>
      <c r="AE106" s="252">
        <f t="shared" si="14"/>
        <v>0</v>
      </c>
      <c r="AH106" s="252">
        <f t="shared" si="22"/>
        <v>0</v>
      </c>
      <c r="AP106" s="358" t="s">
        <v>1586</v>
      </c>
      <c r="AR106" s="296"/>
    </row>
    <row r="107" spans="1:48" ht="20.25"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20.25" customHeight="1">
      <c r="A108" s="364"/>
      <c r="B108" s="364"/>
      <c r="C108" s="364"/>
      <c r="D108" s="364"/>
      <c r="F108" s="375">
        <v>1.4</v>
      </c>
      <c r="G108" s="252" t="s">
        <v>975</v>
      </c>
      <c r="H108" s="389" t="s">
        <v>6071</v>
      </c>
      <c r="S108" s="384">
        <v>1.4</v>
      </c>
      <c r="T108" s="252" t="s">
        <v>975</v>
      </c>
      <c r="U108" s="389" t="s">
        <v>6071</v>
      </c>
      <c r="W108" s="253"/>
      <c r="AH108" s="252">
        <f t="shared" si="22"/>
        <v>0</v>
      </c>
      <c r="AN108" s="356">
        <v>0.70799999999999996</v>
      </c>
      <c r="AO108" s="252" t="s">
        <v>869</v>
      </c>
      <c r="AP108" s="296" t="s">
        <v>1307</v>
      </c>
      <c r="AQ108" s="252">
        <f>K40</f>
        <v>4031.98</v>
      </c>
      <c r="AR108" s="296" t="s">
        <v>869</v>
      </c>
      <c r="AS108" s="252">
        <f>(AN108*AQ108)</f>
        <v>2854.64</v>
      </c>
      <c r="AU108" s="252">
        <f t="shared" si="23"/>
        <v>647.72</v>
      </c>
      <c r="AV108" s="252">
        <f t="shared" si="24"/>
        <v>2206.92</v>
      </c>
    </row>
    <row r="109" spans="1:48" ht="20.25"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0.25"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0.25"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0.25"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0.25"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0.25"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0.25" customHeight="1">
      <c r="A115" s="364"/>
      <c r="B115" s="364"/>
      <c r="C115" s="364"/>
      <c r="D115" s="364"/>
      <c r="K115" s="358" t="s">
        <v>1586</v>
      </c>
      <c r="W115" s="253"/>
      <c r="X115" s="358" t="s">
        <v>1586</v>
      </c>
      <c r="AH115" s="252">
        <f t="shared" si="22"/>
        <v>0</v>
      </c>
      <c r="AP115" s="296" t="s">
        <v>614</v>
      </c>
      <c r="AR115" s="296"/>
      <c r="AS115" s="252">
        <f>SUM(AS107:AS113)</f>
        <v>19734.14</v>
      </c>
      <c r="AU115" s="252">
        <f t="shared" si="23"/>
        <v>4477.68</v>
      </c>
      <c r="AV115" s="252">
        <f t="shared" si="24"/>
        <v>15256.46</v>
      </c>
    </row>
    <row r="116" spans="1:48" ht="20.25" customHeight="1">
      <c r="A116" s="364"/>
      <c r="B116" s="364"/>
      <c r="C116" s="364"/>
      <c r="D116" s="364"/>
      <c r="H116" s="296"/>
      <c r="K116" s="274">
        <f>(K114/10)</f>
        <v>125.03</v>
      </c>
      <c r="L116" s="274">
        <f>K116+C36</f>
        <v>125.03</v>
      </c>
      <c r="M116" s="252">
        <f>M94</f>
        <v>74.849999999999994</v>
      </c>
      <c r="U116" s="296"/>
      <c r="W116" s="253"/>
      <c r="X116" s="274">
        <f>(X114/10)</f>
        <v>86.25</v>
      </c>
      <c r="AH116" s="252">
        <f t="shared" si="22"/>
        <v>0</v>
      </c>
      <c r="AR116" s="296"/>
      <c r="AS116" s="358" t="s">
        <v>1586</v>
      </c>
      <c r="AU116" s="252">
        <f t="shared" si="23"/>
        <v>0</v>
      </c>
      <c r="AV116" s="252">
        <f t="shared" si="24"/>
        <v>0</v>
      </c>
    </row>
    <row r="117" spans="1:48" ht="20.25" customHeight="1">
      <c r="A117" s="364"/>
      <c r="B117" s="364"/>
      <c r="C117" s="364"/>
      <c r="D117" s="364"/>
      <c r="K117" s="358"/>
      <c r="W117" s="253"/>
      <c r="X117" s="358"/>
      <c r="AH117" s="252">
        <f t="shared" si="22"/>
        <v>0</v>
      </c>
      <c r="AP117" s="296" t="s">
        <v>773</v>
      </c>
      <c r="AR117" s="296"/>
      <c r="AS117" s="274">
        <f>(AS115/2.83168)</f>
        <v>6969.06</v>
      </c>
      <c r="AU117" s="252">
        <f t="shared" si="23"/>
        <v>1581.28</v>
      </c>
      <c r="AV117" s="252">
        <f t="shared" si="24"/>
        <v>5387.78</v>
      </c>
    </row>
    <row r="118" spans="1:48" ht="20.25"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0.25" customHeight="1">
      <c r="A119" s="364"/>
      <c r="B119" s="364"/>
      <c r="C119" s="364"/>
      <c r="D119" s="364"/>
      <c r="I119" s="274" t="s">
        <v>1362</v>
      </c>
      <c r="K119" s="360">
        <f>ROUND(K118+C36,2)</f>
        <v>112.05</v>
      </c>
      <c r="V119" s="274" t="s">
        <v>1362</v>
      </c>
      <c r="W119" s="253"/>
      <c r="X119" s="360">
        <f>ROUND(X118+P36,2)</f>
        <v>74.849999999999994</v>
      </c>
      <c r="AH119" s="252">
        <f t="shared" si="22"/>
        <v>0</v>
      </c>
      <c r="AP119" s="296" t="s">
        <v>386</v>
      </c>
      <c r="AR119" s="296"/>
      <c r="AS119" s="252">
        <f>(AS117+C19)</f>
        <v>7047.96</v>
      </c>
      <c r="AT119" s="252">
        <f>AS119-AS117</f>
        <v>78.900000000000006</v>
      </c>
      <c r="AU119" s="252">
        <f t="shared" si="23"/>
        <v>1599.18</v>
      </c>
      <c r="AV119" s="252">
        <f t="shared" si="24"/>
        <v>5448.78</v>
      </c>
    </row>
    <row r="120" spans="1:48" ht="20.25" customHeight="1">
      <c r="A120" s="364"/>
      <c r="B120" s="364"/>
      <c r="C120" s="364"/>
      <c r="D120" s="364"/>
      <c r="I120" s="252" t="s">
        <v>3787</v>
      </c>
      <c r="K120" s="360">
        <f>ROUND(K119+C36,2)</f>
        <v>112.05</v>
      </c>
      <c r="W120" s="253"/>
      <c r="X120" s="358"/>
      <c r="AH120" s="252">
        <f t="shared" si="22"/>
        <v>0</v>
      </c>
      <c r="AP120" s="296" t="s">
        <v>388</v>
      </c>
      <c r="AR120" s="296"/>
      <c r="AS120" s="252">
        <f>(AS119+C20)</f>
        <v>7207.16</v>
      </c>
      <c r="AT120" s="252">
        <f>AS120-AS119</f>
        <v>159.19999999999999</v>
      </c>
      <c r="AU120" s="252">
        <f t="shared" si="23"/>
        <v>1635.3</v>
      </c>
      <c r="AV120" s="252">
        <f t="shared" si="24"/>
        <v>5571.86</v>
      </c>
    </row>
    <row r="121" spans="1:48" ht="20.25" customHeight="1">
      <c r="A121" s="364"/>
      <c r="B121" s="364"/>
      <c r="C121" s="364"/>
      <c r="D121" s="364"/>
      <c r="I121" s="252" t="s">
        <v>3788</v>
      </c>
      <c r="K121" s="360">
        <f>ROUND(K120+C36,2)</f>
        <v>112.05</v>
      </c>
      <c r="W121" s="253"/>
      <c r="X121" s="358"/>
      <c r="AH121" s="252">
        <f t="shared" si="22"/>
        <v>0</v>
      </c>
      <c r="AP121" s="296" t="s">
        <v>2232</v>
      </c>
      <c r="AR121" s="296"/>
      <c r="AS121" s="252">
        <f>(AS120+C20)</f>
        <v>7366.36</v>
      </c>
      <c r="AU121" s="252">
        <f t="shared" si="23"/>
        <v>1671.43</v>
      </c>
      <c r="AV121" s="252">
        <f t="shared" si="24"/>
        <v>5694.93</v>
      </c>
    </row>
    <row r="122" spans="1:48" ht="20.25" customHeight="1">
      <c r="A122" s="364"/>
      <c r="B122" s="364"/>
      <c r="C122" s="364"/>
      <c r="D122" s="364"/>
      <c r="F122" s="390">
        <v>1.8</v>
      </c>
      <c r="H122" s="389" t="s">
        <v>6072</v>
      </c>
      <c r="K122" s="358"/>
      <c r="M122" s="253" t="s">
        <v>384</v>
      </c>
      <c r="N122" s="252" t="s">
        <v>2251</v>
      </c>
      <c r="O122" s="296" t="s">
        <v>385</v>
      </c>
      <c r="Q122" s="296"/>
      <c r="S122" s="391"/>
      <c r="U122" s="389"/>
      <c r="W122" s="253"/>
      <c r="X122" s="358"/>
      <c r="AH122" s="252">
        <f t="shared" si="22"/>
        <v>0</v>
      </c>
      <c r="AP122" s="296" t="s">
        <v>380</v>
      </c>
      <c r="AR122" s="296"/>
      <c r="AS122" s="252">
        <f>AS121+C20</f>
        <v>7525.56</v>
      </c>
      <c r="AU122" s="252">
        <f t="shared" si="23"/>
        <v>1707.55</v>
      </c>
      <c r="AV122" s="252">
        <f t="shared" si="24"/>
        <v>5818.01</v>
      </c>
    </row>
    <row r="123" spans="1:48" ht="20.25" customHeight="1">
      <c r="A123" s="364"/>
      <c r="B123" s="364"/>
      <c r="C123" s="364"/>
      <c r="D123" s="364"/>
      <c r="K123" s="358"/>
      <c r="O123" s="296" t="s">
        <v>6073</v>
      </c>
      <c r="Q123" s="296"/>
      <c r="W123" s="253"/>
      <c r="X123" s="358"/>
      <c r="AH123" s="252">
        <f t="shared" si="22"/>
        <v>0</v>
      </c>
      <c r="AP123" s="296" t="s">
        <v>488</v>
      </c>
      <c r="AR123" s="296"/>
      <c r="AS123" s="252">
        <f>AS122+C20</f>
        <v>7684.76</v>
      </c>
      <c r="AU123" s="252">
        <f t="shared" si="23"/>
        <v>1743.67</v>
      </c>
      <c r="AV123" s="252">
        <f t="shared" si="24"/>
        <v>5941.09</v>
      </c>
    </row>
    <row r="124" spans="1:48" ht="20.25"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7286.76</v>
      </c>
      <c r="AU124" s="252">
        <f t="shared" si="23"/>
        <v>1653.37</v>
      </c>
      <c r="AV124" s="252">
        <f t="shared" si="24"/>
        <v>5633.39</v>
      </c>
    </row>
    <row r="125" spans="1:48" ht="20.25"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0.25"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0.25"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0.25" customHeight="1">
      <c r="A128" s="364"/>
      <c r="B128" s="364"/>
      <c r="C128" s="364"/>
      <c r="D128" s="364"/>
      <c r="K128" s="358" t="s">
        <v>1586</v>
      </c>
      <c r="Q128" s="296"/>
      <c r="R128" s="358" t="s">
        <v>1586</v>
      </c>
      <c r="W128" s="253"/>
      <c r="X128" s="358"/>
      <c r="AP128" s="358" t="s">
        <v>1586</v>
      </c>
      <c r="AR128" s="296"/>
    </row>
    <row r="129" spans="1:48" ht="20.25" customHeight="1">
      <c r="A129" s="364"/>
      <c r="B129" s="364"/>
      <c r="C129" s="364"/>
      <c r="D129" s="364"/>
      <c r="F129" s="375"/>
      <c r="H129" s="260" t="s">
        <v>6074</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0.25" customHeight="1">
      <c r="A130" s="364"/>
      <c r="B130" s="364"/>
      <c r="C130" s="364"/>
      <c r="D130" s="364"/>
      <c r="I130" s="274" t="s">
        <v>1362</v>
      </c>
      <c r="K130" s="360">
        <f>ROUND(K129+C36,2)</f>
        <v>166.9</v>
      </c>
      <c r="V130" s="274"/>
      <c r="W130" s="253"/>
      <c r="X130" s="360"/>
      <c r="AP130" s="252" t="str">
        <f>AP61</f>
        <v>Bricks of size 23x11x7 cm</v>
      </c>
      <c r="AR130" s="296"/>
    </row>
    <row r="131" spans="1:48" ht="20.25" customHeight="1">
      <c r="A131" s="364"/>
      <c r="B131" s="364"/>
      <c r="C131" s="364"/>
      <c r="D131" s="364"/>
      <c r="I131" s="274"/>
      <c r="K131" s="358"/>
      <c r="V131" s="274"/>
      <c r="W131" s="253"/>
      <c r="X131" s="358"/>
      <c r="AP131" s="358" t="s">
        <v>1586</v>
      </c>
      <c r="AR131" s="296"/>
    </row>
    <row r="132" spans="1:48" ht="20.25"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0.25"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4031.98</v>
      </c>
      <c r="AR133" s="296" t="s">
        <v>869</v>
      </c>
      <c r="AS133" s="252">
        <f>(AN133*AQ133)</f>
        <v>2854.64</v>
      </c>
      <c r="AU133" s="252">
        <f t="shared" si="23"/>
        <v>647.72</v>
      </c>
      <c r="AV133" s="252">
        <f t="shared" si="24"/>
        <v>2206.92</v>
      </c>
    </row>
    <row r="134" spans="1:48" ht="20.25" customHeight="1">
      <c r="A134" s="364"/>
      <c r="B134" s="364"/>
      <c r="C134" s="364"/>
      <c r="D134" s="364"/>
      <c r="F134" s="296" t="s">
        <v>975</v>
      </c>
      <c r="H134" s="296" t="s">
        <v>383</v>
      </c>
      <c r="I134" s="274" t="s">
        <v>1362</v>
      </c>
      <c r="K134" s="360">
        <f>ROUND(K133+C36,2)</f>
        <v>168.08</v>
      </c>
      <c r="S134" s="386" t="s">
        <v>975</v>
      </c>
      <c r="U134" s="296" t="s">
        <v>383</v>
      </c>
      <c r="V134" s="274" t="s">
        <v>1362</v>
      </c>
      <c r="W134" s="253"/>
      <c r="X134" s="360">
        <f>ROUND(X133+C36,2)</f>
        <v>112.28</v>
      </c>
      <c r="AN134" s="252">
        <v>1</v>
      </c>
      <c r="AO134" s="252" t="s">
        <v>868</v>
      </c>
      <c r="AP134" s="296" t="s">
        <v>2009</v>
      </c>
      <c r="AQ134" s="252">
        <f>AQ109</f>
        <v>999</v>
      </c>
      <c r="AR134" s="296" t="s">
        <v>868</v>
      </c>
      <c r="AS134" s="252">
        <f>(AN134*AQ134)</f>
        <v>999</v>
      </c>
      <c r="AU134" s="252">
        <f t="shared" si="23"/>
        <v>226.67</v>
      </c>
      <c r="AV134" s="252">
        <f t="shared" si="24"/>
        <v>772.33</v>
      </c>
    </row>
    <row r="135" spans="1:48" ht="20.25"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0.25"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0.25"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0.25" customHeight="1">
      <c r="A138" s="363">
        <f t="shared" ref="A138:A143" si="25">(A137+1)</f>
        <v>81</v>
      </c>
      <c r="B138" s="365" t="s">
        <v>387</v>
      </c>
      <c r="C138" s="364">
        <f>AC33</f>
        <v>58000</v>
      </c>
      <c r="D138" s="365" t="s">
        <v>861</v>
      </c>
      <c r="H138" s="296" t="s">
        <v>6075</v>
      </c>
      <c r="O138" s="296" t="s">
        <v>6076</v>
      </c>
      <c r="Q138" s="296"/>
      <c r="W138" s="253"/>
      <c r="AG138" s="296"/>
      <c r="AO138" s="252" t="s">
        <v>449</v>
      </c>
      <c r="AP138" s="296" t="s">
        <v>450</v>
      </c>
      <c r="AQ138" s="296" t="s">
        <v>975</v>
      </c>
      <c r="AR138" s="296" t="s">
        <v>449</v>
      </c>
      <c r="AS138" s="252">
        <v>0</v>
      </c>
      <c r="AU138" s="252">
        <f t="shared" si="23"/>
        <v>0</v>
      </c>
      <c r="AV138" s="252">
        <f t="shared" si="24"/>
        <v>0</v>
      </c>
    </row>
    <row r="139" spans="1:48" ht="20.25"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0.25" customHeight="1">
      <c r="A140" s="363">
        <f t="shared" si="25"/>
        <v>83</v>
      </c>
      <c r="B140" s="365" t="s">
        <v>378</v>
      </c>
      <c r="C140" s="364">
        <f>AC33</f>
        <v>58000</v>
      </c>
      <c r="D140" s="365" t="s">
        <v>861</v>
      </c>
      <c r="F140" s="252">
        <v>1</v>
      </c>
      <c r="G140" s="252" t="s">
        <v>869</v>
      </c>
      <c r="H140" s="296" t="s">
        <v>379</v>
      </c>
      <c r="I140" s="252">
        <f>I36</f>
        <v>1741.58</v>
      </c>
      <c r="J140" s="296" t="s">
        <v>869</v>
      </c>
      <c r="K140" s="252">
        <f>(F140*I140)</f>
        <v>1741.58</v>
      </c>
      <c r="M140" s="252">
        <v>1</v>
      </c>
      <c r="N140" s="252" t="s">
        <v>869</v>
      </c>
      <c r="O140" s="296" t="s">
        <v>1921</v>
      </c>
      <c r="P140" s="252">
        <f>AC38</f>
        <v>257.64999999999998</v>
      </c>
      <c r="Q140" s="296" t="s">
        <v>869</v>
      </c>
      <c r="R140" s="252">
        <f>(M140*P140)</f>
        <v>257.64999999999998</v>
      </c>
      <c r="W140" s="253"/>
      <c r="AG140" s="296"/>
      <c r="AP140" s="296" t="s">
        <v>614</v>
      </c>
      <c r="AR140" s="296"/>
      <c r="AS140" s="252">
        <f>SUM(AS132:AS138)</f>
        <v>19729.14</v>
      </c>
      <c r="AU140" s="252">
        <f t="shared" si="23"/>
        <v>4476.54</v>
      </c>
      <c r="AV140" s="252">
        <f t="shared" si="24"/>
        <v>15252.6</v>
      </c>
    </row>
    <row r="141" spans="1:48" ht="20.25" customHeight="1">
      <c r="A141" s="363">
        <f t="shared" si="25"/>
        <v>84</v>
      </c>
      <c r="B141" s="365" t="s">
        <v>1546</v>
      </c>
      <c r="C141" s="364">
        <f>AC38</f>
        <v>257.64999999999998</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0.25"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6967.29</v>
      </c>
      <c r="AU142" s="252">
        <f t="shared" si="23"/>
        <v>1580.88</v>
      </c>
      <c r="AV142" s="252">
        <f t="shared" si="24"/>
        <v>5386.41</v>
      </c>
    </row>
    <row r="143" spans="1:48" ht="20.25" customHeight="1">
      <c r="A143" s="363">
        <f t="shared" si="25"/>
        <v>86</v>
      </c>
      <c r="B143" s="296" t="s">
        <v>5831</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0.25" customHeight="1">
      <c r="A144" s="364"/>
      <c r="B144" s="365" t="s">
        <v>975</v>
      </c>
      <c r="C144" s="364"/>
      <c r="D144" s="364"/>
      <c r="H144" s="296" t="s">
        <v>193</v>
      </c>
      <c r="K144" s="274">
        <f>SUM(K138:K142)</f>
        <v>1775.78</v>
      </c>
      <c r="O144" s="296" t="s">
        <v>1516</v>
      </c>
      <c r="Q144" s="296"/>
      <c r="R144" s="252">
        <f>SUM(R140:R142)</f>
        <v>296.60000000000002</v>
      </c>
      <c r="W144" s="253"/>
      <c r="AG144" s="296"/>
      <c r="AR144" s="296"/>
      <c r="AU144" s="252">
        <f t="shared" si="23"/>
        <v>0</v>
      </c>
      <c r="AV144" s="252">
        <f t="shared" si="24"/>
        <v>0</v>
      </c>
    </row>
    <row r="145" spans="1:48" ht="20.25"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0.25" customHeight="1">
      <c r="A146" s="364"/>
      <c r="B146" s="296" t="s">
        <v>4573</v>
      </c>
      <c r="C146" s="314">
        <v>15.5</v>
      </c>
      <c r="D146" s="364"/>
      <c r="F146" s="253" t="s">
        <v>195</v>
      </c>
      <c r="G146" s="252" t="s">
        <v>2251</v>
      </c>
      <c r="H146" s="296" t="s">
        <v>6077</v>
      </c>
      <c r="W146" s="253"/>
      <c r="AP146" s="358" t="s">
        <v>1586</v>
      </c>
      <c r="AR146" s="296"/>
      <c r="AU146" s="252">
        <f t="shared" si="23"/>
        <v>0</v>
      </c>
      <c r="AV146" s="252">
        <f t="shared" si="24"/>
        <v>0</v>
      </c>
    </row>
    <row r="147" spans="1:48" ht="20.25"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6967.29</v>
      </c>
      <c r="AR147" s="296" t="s">
        <v>869</v>
      </c>
      <c r="AS147" s="252">
        <f>(AN147*AQ147)</f>
        <v>7664.02</v>
      </c>
      <c r="AU147" s="252">
        <f t="shared" si="23"/>
        <v>1738.97</v>
      </c>
      <c r="AV147" s="252">
        <f t="shared" si="24"/>
        <v>5925.05</v>
      </c>
    </row>
    <row r="148" spans="1:48" ht="20.25" customHeight="1">
      <c r="A148" s="363">
        <f>(A147+1)</f>
        <v>89</v>
      </c>
      <c r="B148" s="296" t="s">
        <v>5261</v>
      </c>
      <c r="C148" s="362">
        <v>145.19999999999999</v>
      </c>
      <c r="D148" s="365" t="s">
        <v>1645</v>
      </c>
      <c r="H148" s="296" t="s">
        <v>487</v>
      </c>
      <c r="O148" s="296" t="s">
        <v>6078</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0.25" customHeight="1">
      <c r="A149" s="364"/>
      <c r="B149" s="364" t="s">
        <v>5832</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0.25" customHeight="1">
      <c r="A150" s="364"/>
      <c r="B150" s="364"/>
      <c r="C150" s="364"/>
      <c r="D150" s="364"/>
      <c r="H150" s="296" t="s">
        <v>524</v>
      </c>
      <c r="M150" s="252">
        <v>1</v>
      </c>
      <c r="N150" s="252" t="s">
        <v>869</v>
      </c>
      <c r="O150" s="296" t="s">
        <v>3587</v>
      </c>
      <c r="P150" s="252">
        <f>AC43</f>
        <v>342.8</v>
      </c>
      <c r="Q150" s="296" t="s">
        <v>869</v>
      </c>
      <c r="R150" s="252">
        <f>(M150*P150)</f>
        <v>342.8</v>
      </c>
      <c r="W150" s="253"/>
      <c r="AR150" s="296"/>
      <c r="AS150" s="358" t="s">
        <v>1586</v>
      </c>
      <c r="AU150" s="252">
        <f t="shared" si="23"/>
        <v>0</v>
      </c>
      <c r="AV150" s="252">
        <f t="shared" si="24"/>
        <v>0</v>
      </c>
    </row>
    <row r="151" spans="1:48" ht="20.25"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8663.02</v>
      </c>
      <c r="AU151" s="252">
        <f t="shared" si="23"/>
        <v>1965.64</v>
      </c>
      <c r="AV151" s="252">
        <f t="shared" si="24"/>
        <v>6697.38</v>
      </c>
    </row>
    <row r="152" spans="1:48" ht="20.25" customHeight="1">
      <c r="A152" s="364"/>
      <c r="B152" s="364"/>
      <c r="C152" s="364"/>
      <c r="D152" s="364"/>
      <c r="F152" s="252">
        <v>0.7</v>
      </c>
      <c r="G152" s="252" t="s">
        <v>869</v>
      </c>
      <c r="H152" s="296" t="s">
        <v>2002</v>
      </c>
      <c r="I152" s="252">
        <f>C79</f>
        <v>1741.58</v>
      </c>
      <c r="J152" s="296" t="s">
        <v>869</v>
      </c>
      <c r="K152" s="252">
        <f t="shared" ref="K152:K157" si="26">(F152*I152)</f>
        <v>1219.1099999999999</v>
      </c>
      <c r="N152" s="252" t="s">
        <v>449</v>
      </c>
      <c r="O152" s="296" t="s">
        <v>450</v>
      </c>
      <c r="P152" s="296" t="s">
        <v>975</v>
      </c>
      <c r="Q152" s="296" t="s">
        <v>449</v>
      </c>
      <c r="R152" s="252">
        <v>0</v>
      </c>
      <c r="W152" s="253"/>
      <c r="AR152" s="296"/>
      <c r="AS152" s="358" t="s">
        <v>1586</v>
      </c>
      <c r="AU152" s="252">
        <f t="shared" si="23"/>
        <v>0</v>
      </c>
      <c r="AV152" s="252">
        <f t="shared" si="24"/>
        <v>0</v>
      </c>
    </row>
    <row r="153" spans="1:48" ht="20.25"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866.3</v>
      </c>
      <c r="AU153" s="252">
        <f t="shared" si="23"/>
        <v>196.56</v>
      </c>
      <c r="AV153" s="252">
        <f t="shared" si="24"/>
        <v>669.74</v>
      </c>
    </row>
    <row r="154" spans="1:48" ht="20.25" customHeight="1">
      <c r="A154" s="364"/>
      <c r="B154" s="364"/>
      <c r="C154" s="364"/>
      <c r="D154" s="364"/>
      <c r="F154" s="252">
        <v>0.72</v>
      </c>
      <c r="G154" s="252" t="s">
        <v>869</v>
      </c>
      <c r="H154" s="296" t="s">
        <v>1641</v>
      </c>
      <c r="I154" s="252">
        <f>C35</f>
        <v>257.64999999999998</v>
      </c>
      <c r="J154" s="296" t="s">
        <v>869</v>
      </c>
      <c r="K154" s="252">
        <f t="shared" si="26"/>
        <v>185.51</v>
      </c>
      <c r="O154" s="296" t="s">
        <v>1516</v>
      </c>
      <c r="Q154" s="296"/>
      <c r="R154" s="252">
        <f>SUM(R150:R152)</f>
        <v>381.75</v>
      </c>
      <c r="W154" s="253"/>
      <c r="AR154" s="296"/>
      <c r="AS154" s="358" t="s">
        <v>2055</v>
      </c>
      <c r="AU154" s="252">
        <f t="shared" si="23"/>
        <v>0</v>
      </c>
      <c r="AV154" s="252">
        <f t="shared" si="24"/>
        <v>0</v>
      </c>
    </row>
    <row r="155" spans="1:48" ht="20.25"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874.98</v>
      </c>
      <c r="AT155" s="252">
        <f>AS153-AS155</f>
        <v>-8.68</v>
      </c>
      <c r="AU155" s="252">
        <f t="shared" si="23"/>
        <v>198.53</v>
      </c>
      <c r="AV155" s="252">
        <f t="shared" si="24"/>
        <v>676.45</v>
      </c>
    </row>
    <row r="156" spans="1:48" ht="20.25"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892.49</v>
      </c>
      <c r="AT156" s="252">
        <f>AS156-AS155</f>
        <v>17.510000000000002</v>
      </c>
      <c r="AU156" s="252">
        <f t="shared" si="23"/>
        <v>202.51</v>
      </c>
      <c r="AV156" s="252">
        <f t="shared" si="24"/>
        <v>689.98</v>
      </c>
    </row>
    <row r="157" spans="1:48" ht="20.25"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910</v>
      </c>
      <c r="AU157" s="252">
        <f t="shared" si="23"/>
        <v>206.48</v>
      </c>
      <c r="AV157" s="252">
        <f t="shared" si="24"/>
        <v>703.52</v>
      </c>
    </row>
    <row r="158" spans="1:48" ht="20.25" customHeight="1">
      <c r="A158" s="364"/>
      <c r="B158" s="364"/>
      <c r="C158" s="364"/>
      <c r="D158" s="364"/>
      <c r="H158" s="296" t="s">
        <v>1643</v>
      </c>
      <c r="W158" s="253"/>
      <c r="AP158" s="296" t="s">
        <v>380</v>
      </c>
      <c r="AR158" s="296">
        <f>AS158-AS157</f>
        <v>17.510000000000002</v>
      </c>
      <c r="AS158" s="274">
        <f>(AS157+C21/10*AN147)</f>
        <v>927.51</v>
      </c>
      <c r="AU158" s="252">
        <f t="shared" si="23"/>
        <v>210.45</v>
      </c>
      <c r="AV158" s="252">
        <f t="shared" si="24"/>
        <v>717.06</v>
      </c>
    </row>
    <row r="159" spans="1:48" ht="20.25"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945.02</v>
      </c>
      <c r="AU159" s="252">
        <f t="shared" si="23"/>
        <v>214.43</v>
      </c>
      <c r="AV159" s="252">
        <f t="shared" si="24"/>
        <v>730.59</v>
      </c>
    </row>
    <row r="160" spans="1:48" ht="20.25"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0.25" customHeight="1">
      <c r="A161" s="364"/>
      <c r="B161" s="364"/>
      <c r="C161" s="364"/>
      <c r="D161" s="364"/>
      <c r="H161" s="255" t="s">
        <v>193</v>
      </c>
      <c r="K161" s="274">
        <f>SUM(K152:K159)</f>
        <v>1540.6</v>
      </c>
      <c r="O161" s="296" t="s">
        <v>669</v>
      </c>
      <c r="Q161" s="296"/>
      <c r="W161" s="253"/>
      <c r="AN161" s="274"/>
      <c r="AO161" s="274"/>
      <c r="AP161" s="274" t="str">
        <f>AP61</f>
        <v>Bricks of size 23x11x7 cm</v>
      </c>
      <c r="AQ161" s="274"/>
      <c r="AR161" s="276"/>
      <c r="AS161" s="274"/>
      <c r="AU161" s="252">
        <f t="shared" si="23"/>
        <v>0</v>
      </c>
      <c r="AV161" s="252">
        <f t="shared" si="24"/>
        <v>0</v>
      </c>
    </row>
    <row r="162" spans="1:48" ht="20.25" customHeight="1">
      <c r="A162" s="364"/>
      <c r="B162" s="364"/>
      <c r="C162" s="364"/>
      <c r="D162" s="364"/>
      <c r="K162" s="358" t="s">
        <v>1586</v>
      </c>
      <c r="O162" s="358" t="s">
        <v>1586</v>
      </c>
      <c r="Q162" s="296"/>
      <c r="W162" s="253"/>
      <c r="AP162" s="358" t="s">
        <v>1586</v>
      </c>
      <c r="AR162" s="296"/>
      <c r="AU162" s="252">
        <f t="shared" si="23"/>
        <v>0</v>
      </c>
      <c r="AV162" s="252">
        <f t="shared" si="24"/>
        <v>0</v>
      </c>
    </row>
    <row r="163" spans="1:48" ht="20.25" customHeight="1">
      <c r="A163" s="364"/>
      <c r="B163" s="364"/>
      <c r="C163" s="364"/>
      <c r="D163" s="364"/>
      <c r="H163" s="296" t="s">
        <v>975</v>
      </c>
      <c r="K163" s="296" t="s">
        <v>975</v>
      </c>
      <c r="M163" s="252">
        <v>9</v>
      </c>
      <c r="N163" s="252" t="s">
        <v>869</v>
      </c>
      <c r="O163" s="296" t="s">
        <v>1638</v>
      </c>
      <c r="P163" s="252">
        <f>I195</f>
        <v>1388.74</v>
      </c>
      <c r="Q163" s="296" t="s">
        <v>869</v>
      </c>
      <c r="R163" s="252">
        <f>(M163*P163)</f>
        <v>12498.66</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0.25" customHeight="1">
      <c r="A164" s="364"/>
      <c r="B164" s="364"/>
      <c r="C164" s="364"/>
      <c r="D164" s="364"/>
      <c r="K164" s="296" t="s">
        <v>975</v>
      </c>
      <c r="M164" s="252">
        <v>4.5</v>
      </c>
      <c r="N164" s="252" t="s">
        <v>869</v>
      </c>
      <c r="O164" s="296" t="s">
        <v>1307</v>
      </c>
      <c r="P164" s="252">
        <f>K40</f>
        <v>4031.98</v>
      </c>
      <c r="Q164" s="296" t="s">
        <v>869</v>
      </c>
      <c r="R164" s="252">
        <f>(M164*P164)</f>
        <v>18143.91</v>
      </c>
      <c r="W164" s="253"/>
      <c r="AN164" s="356">
        <f>AN133</f>
        <v>0.70799999999999996</v>
      </c>
      <c r="AO164" s="252" t="s">
        <v>869</v>
      </c>
      <c r="AP164" s="296" t="s">
        <v>1307</v>
      </c>
      <c r="AQ164" s="252">
        <f>AQ133</f>
        <v>4031.98</v>
      </c>
      <c r="AR164" s="296" t="s">
        <v>869</v>
      </c>
      <c r="AS164" s="252">
        <f>(AN164*AQ164)</f>
        <v>2854.64</v>
      </c>
      <c r="AU164" s="252">
        <f t="shared" ref="AU164:AU217" si="27">AS164*22.69/100</f>
        <v>647.72</v>
      </c>
      <c r="AV164" s="252">
        <f t="shared" ref="AV164:AV217" si="28">AS164-AU164</f>
        <v>2206.92</v>
      </c>
    </row>
    <row r="165" spans="1:48" ht="20.25" customHeight="1">
      <c r="A165" s="397">
        <v>2.2999999999999998</v>
      </c>
      <c r="B165" s="376" t="s">
        <v>246</v>
      </c>
      <c r="C165" s="398">
        <f>AC19+I168</f>
        <v>759.93</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0.25" customHeight="1">
      <c r="A166" s="397">
        <v>2.4</v>
      </c>
      <c r="B166" s="376" t="s">
        <v>780</v>
      </c>
      <c r="C166" s="398">
        <f>AC20+I168</f>
        <v>840.93</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0.25" customHeight="1">
      <c r="A167" s="364"/>
      <c r="B167" s="364"/>
      <c r="C167" s="364"/>
      <c r="D167" s="364"/>
      <c r="F167" s="252">
        <v>1</v>
      </c>
      <c r="G167" s="252" t="s">
        <v>869</v>
      </c>
      <c r="H167" s="296" t="s">
        <v>1090</v>
      </c>
      <c r="I167" s="252">
        <f>AC15</f>
        <v>1388.74</v>
      </c>
      <c r="J167" s="296" t="s">
        <v>869</v>
      </c>
      <c r="K167" s="252">
        <f>(F167*I167)</f>
        <v>1388.74</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0.25"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0.25"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0.25" customHeight="1">
      <c r="A170" s="364"/>
      <c r="B170" s="364"/>
      <c r="C170" s="364"/>
      <c r="D170" s="364"/>
      <c r="K170" s="358" t="s">
        <v>1586</v>
      </c>
      <c r="Q170" s="296"/>
      <c r="R170" s="252">
        <f>SUM(R163:R168)</f>
        <v>51372.27</v>
      </c>
      <c r="W170" s="253"/>
      <c r="AR170" s="296"/>
      <c r="AS170" s="358" t="s">
        <v>1586</v>
      </c>
      <c r="AU170" s="252">
        <f t="shared" si="27"/>
        <v>0</v>
      </c>
      <c r="AV170" s="252">
        <f t="shared" si="28"/>
        <v>0</v>
      </c>
    </row>
    <row r="171" spans="1:48" ht="20.25" customHeight="1">
      <c r="A171" s="364"/>
      <c r="B171" s="364"/>
      <c r="C171" s="364"/>
      <c r="D171" s="364"/>
      <c r="H171" s="255" t="s">
        <v>193</v>
      </c>
      <c r="K171" s="274">
        <f>SUM(K166:K169)</f>
        <v>1427.69</v>
      </c>
      <c r="O171" s="253" t="s">
        <v>614</v>
      </c>
      <c r="Q171" s="296"/>
      <c r="R171" s="358" t="s">
        <v>1586</v>
      </c>
      <c r="W171" s="253"/>
      <c r="AP171" s="296" t="s">
        <v>614</v>
      </c>
      <c r="AR171" s="296"/>
      <c r="AS171" s="252">
        <f>SUM(AS163:AS169)</f>
        <v>19734.14</v>
      </c>
      <c r="AU171" s="252">
        <f t="shared" si="27"/>
        <v>4477.68</v>
      </c>
      <c r="AV171" s="252">
        <f t="shared" si="28"/>
        <v>15256.46</v>
      </c>
    </row>
    <row r="172" spans="1:48" ht="20.25" customHeight="1">
      <c r="A172" s="364"/>
      <c r="B172" s="364"/>
      <c r="C172" s="364"/>
      <c r="D172" s="364"/>
      <c r="K172" s="358" t="s">
        <v>1586</v>
      </c>
      <c r="Q172" s="296"/>
      <c r="R172" s="274">
        <f>(R170/10)</f>
        <v>5137.2299999999996</v>
      </c>
      <c r="W172" s="253"/>
      <c r="AR172" s="296"/>
      <c r="AS172" s="358" t="s">
        <v>1586</v>
      </c>
      <c r="AU172" s="252">
        <f t="shared" si="27"/>
        <v>0</v>
      </c>
      <c r="AV172" s="252">
        <f t="shared" si="28"/>
        <v>0</v>
      </c>
    </row>
    <row r="173" spans="1:48" ht="20.25"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6969.06</v>
      </c>
      <c r="AU173" s="252">
        <f t="shared" si="27"/>
        <v>1581.28</v>
      </c>
      <c r="AV173" s="252">
        <f t="shared" si="28"/>
        <v>5387.78</v>
      </c>
    </row>
    <row r="174" spans="1:48" ht="20.25" customHeight="1">
      <c r="A174" s="364"/>
      <c r="B174" s="364"/>
      <c r="C174" s="364"/>
      <c r="D174" s="364"/>
      <c r="H174" s="358" t="s">
        <v>1586</v>
      </c>
      <c r="W174" s="253"/>
      <c r="AR174" s="296"/>
      <c r="AS174" s="358" t="s">
        <v>2055</v>
      </c>
      <c r="AU174" s="252">
        <f t="shared" si="27"/>
        <v>0</v>
      </c>
      <c r="AV174" s="252">
        <f t="shared" si="28"/>
        <v>0</v>
      </c>
    </row>
    <row r="175" spans="1:48" ht="20.25" customHeight="1">
      <c r="A175" s="364"/>
      <c r="B175" s="364"/>
      <c r="C175" s="364"/>
      <c r="D175" s="364"/>
      <c r="F175" s="252">
        <v>1</v>
      </c>
      <c r="G175" s="252" t="s">
        <v>869</v>
      </c>
      <c r="H175" s="296" t="s">
        <v>832</v>
      </c>
      <c r="I175" s="252">
        <f>AC14</f>
        <v>1807.94</v>
      </c>
      <c r="J175" s="296" t="s">
        <v>869</v>
      </c>
      <c r="K175" s="252">
        <f>(F175*I175)</f>
        <v>1807.94</v>
      </c>
      <c r="W175" s="253"/>
      <c r="AN175" s="296" t="s">
        <v>249</v>
      </c>
      <c r="AR175" s="296"/>
      <c r="AU175" s="252">
        <f t="shared" si="27"/>
        <v>0</v>
      </c>
      <c r="AV175" s="252">
        <f t="shared" si="28"/>
        <v>0</v>
      </c>
    </row>
    <row r="176" spans="1:48" ht="20.25"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0.25"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0.25" customHeight="1">
      <c r="A178" s="364"/>
      <c r="B178" s="364"/>
      <c r="C178" s="364"/>
      <c r="D178" s="364"/>
      <c r="K178" s="358" t="s">
        <v>1586</v>
      </c>
      <c r="W178" s="253"/>
      <c r="AP178" s="358" t="s">
        <v>1586</v>
      </c>
      <c r="AR178" s="296"/>
      <c r="AU178" s="252">
        <f t="shared" si="27"/>
        <v>0</v>
      </c>
      <c r="AV178" s="252">
        <f t="shared" si="28"/>
        <v>0</v>
      </c>
    </row>
    <row r="179" spans="1:48" ht="20.25" customHeight="1">
      <c r="A179" s="364"/>
      <c r="B179" s="364"/>
      <c r="C179" s="364"/>
      <c r="D179" s="364"/>
      <c r="H179" s="255" t="s">
        <v>193</v>
      </c>
      <c r="K179" s="274">
        <f>SUM(K174:K177)</f>
        <v>1846.89</v>
      </c>
      <c r="W179" s="253"/>
      <c r="AN179" s="252">
        <v>0.7</v>
      </c>
      <c r="AO179" s="252" t="s">
        <v>869</v>
      </c>
      <c r="AP179" s="296" t="s">
        <v>2279</v>
      </c>
      <c r="AQ179" s="252">
        <f>AQ147</f>
        <v>6967.29</v>
      </c>
      <c r="AR179" s="296" t="s">
        <v>868</v>
      </c>
      <c r="AS179" s="252">
        <f>(AN179*AQ179)</f>
        <v>4877.1000000000004</v>
      </c>
      <c r="AU179" s="252">
        <f t="shared" si="27"/>
        <v>1106.6099999999999</v>
      </c>
      <c r="AV179" s="252">
        <f t="shared" si="28"/>
        <v>3770.49</v>
      </c>
    </row>
    <row r="180" spans="1:48" ht="20.25" customHeight="1">
      <c r="K180" s="358" t="s">
        <v>1586</v>
      </c>
      <c r="M180" s="252">
        <v>2.5</v>
      </c>
      <c r="N180" s="296" t="s">
        <v>869</v>
      </c>
      <c r="O180" s="296" t="s">
        <v>1631</v>
      </c>
      <c r="P180" s="252">
        <f>(K58)</f>
        <v>3307.18</v>
      </c>
      <c r="Q180" s="296" t="s">
        <v>869</v>
      </c>
      <c r="R180" s="252">
        <f>(M180*P180)</f>
        <v>8267.9500000000007</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0.25"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0.25" customHeight="1">
      <c r="F182" s="253" t="s">
        <v>1647</v>
      </c>
      <c r="H182" s="296" t="s">
        <v>6079</v>
      </c>
      <c r="W182" s="253"/>
      <c r="AR182" s="296"/>
      <c r="AS182" s="358" t="s">
        <v>1586</v>
      </c>
      <c r="AU182" s="252">
        <f t="shared" si="27"/>
        <v>0</v>
      </c>
      <c r="AV182" s="252">
        <f t="shared" si="28"/>
        <v>0</v>
      </c>
    </row>
    <row r="183" spans="1:48" ht="20.25" customHeight="1">
      <c r="A183" s="364"/>
      <c r="B183" s="364"/>
      <c r="C183" s="364"/>
      <c r="D183" s="364"/>
      <c r="W183" s="253"/>
      <c r="AP183" s="296" t="s">
        <v>441</v>
      </c>
      <c r="AR183" s="296"/>
      <c r="AS183" s="274">
        <f>SUM(AS179:AS181)</f>
        <v>5876.1</v>
      </c>
      <c r="AU183" s="252">
        <f t="shared" si="27"/>
        <v>1333.29</v>
      </c>
      <c r="AV183" s="252">
        <f t="shared" si="28"/>
        <v>4542.8100000000004</v>
      </c>
    </row>
    <row r="184" spans="1:48" ht="20.25" customHeight="1">
      <c r="A184" s="364"/>
      <c r="B184" s="364"/>
      <c r="C184" s="364"/>
      <c r="D184" s="364"/>
      <c r="F184" s="252">
        <v>1</v>
      </c>
      <c r="G184" s="252" t="s">
        <v>869</v>
      </c>
      <c r="H184" s="296" t="s">
        <v>64</v>
      </c>
      <c r="I184" s="252">
        <f>C35</f>
        <v>257.64999999999998</v>
      </c>
      <c r="J184" s="296" t="s">
        <v>869</v>
      </c>
      <c r="K184" s="252">
        <f>(F184*I184)</f>
        <v>257.64999999999998</v>
      </c>
      <c r="W184" s="253"/>
      <c r="AR184" s="296"/>
      <c r="AS184" s="358" t="s">
        <v>1586</v>
      </c>
      <c r="AU184" s="252">
        <f t="shared" si="27"/>
        <v>0</v>
      </c>
      <c r="AV184" s="252">
        <f t="shared" si="28"/>
        <v>0</v>
      </c>
    </row>
    <row r="185" spans="1:48" ht="20.25"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587.61</v>
      </c>
      <c r="AU185" s="252">
        <f t="shared" si="27"/>
        <v>133.33000000000001</v>
      </c>
      <c r="AV185" s="252">
        <f t="shared" si="28"/>
        <v>454.28</v>
      </c>
    </row>
    <row r="186" spans="1:48" ht="20.25"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0.25" customHeight="1">
      <c r="A187" s="364"/>
      <c r="B187" s="364"/>
      <c r="C187" s="364"/>
      <c r="D187" s="364"/>
      <c r="H187" s="296" t="s">
        <v>1643</v>
      </c>
      <c r="W187" s="253"/>
      <c r="AP187" s="296" t="s">
        <v>386</v>
      </c>
      <c r="AR187" s="296">
        <f>AS187-AS185</f>
        <v>5.52</v>
      </c>
      <c r="AS187" s="274">
        <f>(AS185+C19/10*AN179)</f>
        <v>593.13</v>
      </c>
      <c r="AU187" s="252">
        <f t="shared" si="27"/>
        <v>134.58000000000001</v>
      </c>
      <c r="AV187" s="252">
        <f t="shared" si="28"/>
        <v>458.55</v>
      </c>
    </row>
    <row r="188" spans="1:48" ht="20.25" customHeight="1">
      <c r="A188" s="364"/>
      <c r="B188" s="364"/>
      <c r="C188" s="364"/>
      <c r="D188" s="364"/>
      <c r="K188" s="358" t="s">
        <v>1586</v>
      </c>
      <c r="W188" s="253"/>
      <c r="AP188" s="296" t="s">
        <v>388</v>
      </c>
      <c r="AR188" s="296">
        <f>AS188-AS187</f>
        <v>11.14</v>
      </c>
      <c r="AS188" s="274">
        <f>(AS187+C20/10*AN179)</f>
        <v>604.27</v>
      </c>
      <c r="AU188" s="252">
        <f t="shared" si="27"/>
        <v>137.11000000000001</v>
      </c>
      <c r="AV188" s="252">
        <f t="shared" si="28"/>
        <v>467.16</v>
      </c>
    </row>
    <row r="189" spans="1:48" ht="20.25" customHeight="1">
      <c r="A189" s="364"/>
      <c r="B189" s="364"/>
      <c r="C189" s="364"/>
      <c r="D189" s="364"/>
      <c r="H189" s="255" t="s">
        <v>193</v>
      </c>
      <c r="K189" s="274">
        <f>SUM(K182:K187)</f>
        <v>276.3</v>
      </c>
      <c r="W189" s="253"/>
      <c r="AP189" s="296" t="s">
        <v>2232</v>
      </c>
      <c r="AR189" s="296">
        <f>AS189-AS188</f>
        <v>11.14</v>
      </c>
      <c r="AS189" s="274">
        <f>(AS188+C21/10*AN179)</f>
        <v>615.41</v>
      </c>
      <c r="AU189" s="252">
        <f t="shared" si="27"/>
        <v>139.63999999999999</v>
      </c>
      <c r="AV189" s="252">
        <f t="shared" si="28"/>
        <v>475.77</v>
      </c>
    </row>
    <row r="190" spans="1:48" ht="20.25" customHeight="1">
      <c r="A190" s="364"/>
      <c r="B190" s="364"/>
      <c r="C190" s="364"/>
      <c r="D190" s="364"/>
      <c r="F190" s="296" t="s">
        <v>975</v>
      </c>
      <c r="K190" s="358" t="s">
        <v>1586</v>
      </c>
      <c r="W190" s="253"/>
      <c r="AP190" s="296" t="s">
        <v>380</v>
      </c>
      <c r="AR190" s="296">
        <f>AS190-AS189</f>
        <v>11.14</v>
      </c>
      <c r="AS190" s="274">
        <f>(AS189+C21/10*AN179)</f>
        <v>626.54999999999995</v>
      </c>
      <c r="AU190" s="252">
        <f t="shared" si="27"/>
        <v>142.16</v>
      </c>
      <c r="AV190" s="252">
        <f t="shared" si="28"/>
        <v>484.39</v>
      </c>
    </row>
    <row r="191" spans="1:48" ht="20.25" customHeight="1">
      <c r="A191" s="364"/>
      <c r="B191" s="364"/>
      <c r="C191" s="364"/>
      <c r="D191" s="364"/>
      <c r="K191" s="296" t="s">
        <v>975</v>
      </c>
      <c r="W191" s="253"/>
      <c r="AP191" s="296" t="s">
        <v>833</v>
      </c>
      <c r="AR191" s="296">
        <f>AS191-AS190</f>
        <v>11.14</v>
      </c>
      <c r="AS191" s="274">
        <f>(AS190+C21/10*AN179)</f>
        <v>637.69000000000005</v>
      </c>
      <c r="AU191" s="252">
        <f t="shared" si="27"/>
        <v>144.69</v>
      </c>
      <c r="AV191" s="252">
        <f t="shared" si="28"/>
        <v>493</v>
      </c>
    </row>
    <row r="192" spans="1:48" ht="20.25"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0.25"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0.25" customHeight="1">
      <c r="A194" s="363">
        <f t="shared" si="29"/>
        <v>92</v>
      </c>
      <c r="B194" s="296" t="s">
        <v>5262</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0.25" customHeight="1">
      <c r="A195" s="363">
        <f t="shared" si="29"/>
        <v>93</v>
      </c>
      <c r="B195" s="296" t="s">
        <v>5263</v>
      </c>
      <c r="C195" s="362">
        <v>238.9</v>
      </c>
      <c r="D195" s="314">
        <v>96.11</v>
      </c>
      <c r="F195" s="252">
        <v>9</v>
      </c>
      <c r="G195" s="252" t="s">
        <v>869</v>
      </c>
      <c r="H195" s="296" t="s">
        <v>1638</v>
      </c>
      <c r="I195" s="252">
        <f>(C74)</f>
        <v>1388.74</v>
      </c>
      <c r="J195" s="296" t="s">
        <v>869</v>
      </c>
      <c r="K195" s="252">
        <f>(F195*I195)</f>
        <v>12498.66</v>
      </c>
      <c r="M195" s="252">
        <v>9</v>
      </c>
      <c r="N195" s="252" t="s">
        <v>869</v>
      </c>
      <c r="O195" s="296" t="s">
        <v>691</v>
      </c>
      <c r="P195" s="252">
        <f>(C73)</f>
        <v>1807.94</v>
      </c>
      <c r="Q195" s="296" t="s">
        <v>869</v>
      </c>
      <c r="R195" s="252">
        <f>(M195*P195)</f>
        <v>16271.46</v>
      </c>
      <c r="S195" s="252">
        <v>9</v>
      </c>
      <c r="T195" s="252" t="s">
        <v>869</v>
      </c>
      <c r="U195" s="296" t="s">
        <v>1638</v>
      </c>
      <c r="V195" s="252">
        <f>(C74)</f>
        <v>1388.74</v>
      </c>
      <c r="W195" s="253" t="s">
        <v>869</v>
      </c>
      <c r="X195" s="252">
        <f>(S195*V195)</f>
        <v>12498.66</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0.25" customHeight="1">
      <c r="A196" s="363">
        <f t="shared" si="29"/>
        <v>94</v>
      </c>
      <c r="B196" s="296" t="s">
        <v>5264</v>
      </c>
      <c r="C196" s="362">
        <v>147.5</v>
      </c>
      <c r="D196" s="365" t="s">
        <v>665</v>
      </c>
      <c r="F196" s="252">
        <v>4.5</v>
      </c>
      <c r="G196" s="252" t="s">
        <v>869</v>
      </c>
      <c r="H196" s="296" t="s">
        <v>1625</v>
      </c>
      <c r="I196" s="252">
        <f>(K49)</f>
        <v>3597.1</v>
      </c>
      <c r="J196" s="296" t="s">
        <v>869</v>
      </c>
      <c r="K196" s="252">
        <f>(F196*I196)</f>
        <v>16186.95</v>
      </c>
      <c r="M196" s="252">
        <v>4.5</v>
      </c>
      <c r="N196" s="252" t="s">
        <v>869</v>
      </c>
      <c r="O196" s="296" t="s">
        <v>1353</v>
      </c>
      <c r="P196" s="252">
        <f>K32</f>
        <v>4756.78</v>
      </c>
      <c r="Q196" s="296" t="s">
        <v>869</v>
      </c>
      <c r="R196" s="252">
        <f>(M196*P196)</f>
        <v>21405.51</v>
      </c>
      <c r="S196" s="252">
        <v>4.5</v>
      </c>
      <c r="T196" s="252" t="s">
        <v>869</v>
      </c>
      <c r="U196" s="296" t="s">
        <v>1353</v>
      </c>
      <c r="V196" s="252">
        <f>P196</f>
        <v>4756.78</v>
      </c>
      <c r="W196" s="253" t="s">
        <v>869</v>
      </c>
      <c r="X196" s="252">
        <f>(S196*V196)</f>
        <v>21405.51</v>
      </c>
      <c r="AG196" s="296"/>
      <c r="AN196" s="252">
        <v>1</v>
      </c>
      <c r="AO196" s="252" t="s">
        <v>769</v>
      </c>
      <c r="AP196" s="296" t="s">
        <v>2009</v>
      </c>
      <c r="AQ196" s="252" t="str">
        <f>AQ181</f>
        <v xml:space="preserve"> </v>
      </c>
      <c r="AR196" s="296" t="s">
        <v>868</v>
      </c>
      <c r="AS196" s="252">
        <f>(AN196*AQ196)</f>
        <v>0</v>
      </c>
      <c r="AU196" s="252">
        <f t="shared" si="27"/>
        <v>0</v>
      </c>
      <c r="AV196" s="252">
        <f t="shared" si="28"/>
        <v>0</v>
      </c>
    </row>
    <row r="197" spans="1:48" ht="20.25"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0.25" customHeight="1">
      <c r="A198" s="363">
        <f t="shared" si="29"/>
        <v>96</v>
      </c>
      <c r="B198" s="296" t="s">
        <v>5833</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0.25" customHeight="1">
      <c r="A199" s="363">
        <f t="shared" si="29"/>
        <v>97</v>
      </c>
      <c r="B199" s="296" t="s">
        <v>5834</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0.25" customHeight="1">
      <c r="A200" s="363">
        <f t="shared" si="29"/>
        <v>98</v>
      </c>
      <c r="B200" s="296" t="s">
        <v>5835</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0.25" customHeight="1">
      <c r="A201" s="363">
        <f t="shared" si="29"/>
        <v>99</v>
      </c>
      <c r="B201" s="296" t="s">
        <v>5836</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0.25" customHeight="1">
      <c r="A202" s="363">
        <f t="shared" si="29"/>
        <v>100</v>
      </c>
      <c r="B202" s="365" t="s">
        <v>1149</v>
      </c>
      <c r="C202" s="372">
        <v>47.2</v>
      </c>
      <c r="D202" s="365" t="s">
        <v>769</v>
      </c>
      <c r="K202" s="252">
        <f>SUM(K195:K200)</f>
        <v>49415.31</v>
      </c>
      <c r="Q202" s="296"/>
      <c r="R202" s="252">
        <f>SUM(R195:R200)</f>
        <v>58406.67</v>
      </c>
      <c r="S202" s="252"/>
      <c r="W202" s="253"/>
      <c r="X202" s="252">
        <f>SUM(X195:X200)</f>
        <v>54633.87</v>
      </c>
      <c r="AG202" s="296"/>
      <c r="AR202" s="296"/>
      <c r="AS202" s="358" t="s">
        <v>2055</v>
      </c>
      <c r="AU202" s="252">
        <f t="shared" si="27"/>
        <v>0</v>
      </c>
      <c r="AV202" s="252">
        <f t="shared" si="28"/>
        <v>0</v>
      </c>
    </row>
    <row r="203" spans="1:48" ht="20.25" customHeight="1">
      <c r="A203" s="363">
        <f t="shared" si="29"/>
        <v>101</v>
      </c>
      <c r="B203" s="296" t="s">
        <v>5837</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18.04</v>
      </c>
      <c r="AS203" s="274">
        <f>(AS201+C35/10*AN195)</f>
        <v>479.69</v>
      </c>
      <c r="AU203" s="252">
        <f t="shared" si="27"/>
        <v>108.84</v>
      </c>
      <c r="AV203" s="252">
        <f t="shared" si="28"/>
        <v>370.85</v>
      </c>
    </row>
    <row r="204" spans="1:48" ht="20.25" customHeight="1">
      <c r="A204" s="363">
        <f t="shared" si="29"/>
        <v>102</v>
      </c>
      <c r="B204" s="296" t="s">
        <v>5838</v>
      </c>
      <c r="C204" s="362">
        <v>63.4</v>
      </c>
      <c r="D204" s="365" t="s">
        <v>769</v>
      </c>
      <c r="K204" s="274">
        <f>(K202/10)</f>
        <v>4941.53</v>
      </c>
      <c r="Q204" s="296"/>
      <c r="R204" s="252">
        <f>(R202/10)</f>
        <v>5840.67</v>
      </c>
      <c r="S204" s="252"/>
      <c r="W204" s="253"/>
      <c r="X204" s="252">
        <f>(X202/10)</f>
        <v>5463.39</v>
      </c>
      <c r="AP204" s="296" t="s">
        <v>388</v>
      </c>
      <c r="AR204" s="296">
        <f>AS204-AS203</f>
        <v>0</v>
      </c>
      <c r="AS204" s="274">
        <f>(AS203+C36/10*AN195)</f>
        <v>479.69</v>
      </c>
      <c r="AU204" s="252">
        <f t="shared" si="27"/>
        <v>108.84</v>
      </c>
      <c r="AV204" s="252">
        <f t="shared" si="28"/>
        <v>370.85</v>
      </c>
    </row>
    <row r="205" spans="1:48" ht="20.25"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0</v>
      </c>
      <c r="AS205" s="274">
        <f>(AS204+C37/10*AN195)</f>
        <v>479.69</v>
      </c>
      <c r="AU205" s="252">
        <f t="shared" si="27"/>
        <v>108.84</v>
      </c>
      <c r="AV205" s="252">
        <f t="shared" si="28"/>
        <v>370.85</v>
      </c>
    </row>
    <row r="206" spans="1:48" ht="20.25" customHeight="1">
      <c r="A206" s="363">
        <f t="shared" si="29"/>
        <v>104</v>
      </c>
      <c r="B206" s="296" t="s">
        <v>5839</v>
      </c>
      <c r="C206" s="362">
        <v>101.6</v>
      </c>
      <c r="D206" s="365" t="s">
        <v>769</v>
      </c>
      <c r="E206" s="362">
        <v>140.65</v>
      </c>
      <c r="W206" s="253"/>
      <c r="AG206" s="296"/>
      <c r="AP206" s="296" t="s">
        <v>380</v>
      </c>
      <c r="AR206" s="296">
        <f>AS206-AS205</f>
        <v>0</v>
      </c>
      <c r="AS206" s="274">
        <f>(AS205+C37/10*AN195)</f>
        <v>479.69</v>
      </c>
      <c r="AU206" s="252">
        <f t="shared" si="27"/>
        <v>108.84</v>
      </c>
      <c r="AV206" s="252">
        <f t="shared" si="28"/>
        <v>370.85</v>
      </c>
    </row>
    <row r="207" spans="1:48" ht="20.25" customHeight="1">
      <c r="A207" s="363">
        <f t="shared" si="29"/>
        <v>105</v>
      </c>
      <c r="B207" s="296" t="s">
        <v>5265</v>
      </c>
      <c r="C207" s="362">
        <v>227.6</v>
      </c>
      <c r="D207" s="365" t="s">
        <v>686</v>
      </c>
      <c r="F207" s="253" t="s">
        <v>687</v>
      </c>
      <c r="G207" s="252" t="s">
        <v>2251</v>
      </c>
      <c r="H207" s="296" t="s">
        <v>6080</v>
      </c>
      <c r="W207" s="253"/>
      <c r="AP207" s="296" t="s">
        <v>833</v>
      </c>
      <c r="AR207" s="296">
        <f>AS207-AS206</f>
        <v>0</v>
      </c>
      <c r="AS207" s="274">
        <f>(AS206+C37/10*AN195)</f>
        <v>479.69</v>
      </c>
      <c r="AU207" s="252">
        <f t="shared" si="27"/>
        <v>108.84</v>
      </c>
      <c r="AV207" s="252">
        <f t="shared" si="28"/>
        <v>370.85</v>
      </c>
    </row>
    <row r="208" spans="1:48" ht="20.25" customHeight="1">
      <c r="A208" s="363">
        <f t="shared" si="29"/>
        <v>106</v>
      </c>
      <c r="B208" s="296" t="s">
        <v>5840</v>
      </c>
      <c r="C208" s="362">
        <v>166.15</v>
      </c>
      <c r="D208" s="365" t="s">
        <v>769</v>
      </c>
      <c r="H208" s="296" t="s">
        <v>1487</v>
      </c>
      <c r="N208" s="296" t="s">
        <v>689</v>
      </c>
      <c r="O208" s="296" t="s">
        <v>690</v>
      </c>
      <c r="W208" s="253"/>
      <c r="AU208" s="252">
        <f t="shared" si="27"/>
        <v>0</v>
      </c>
      <c r="AV208" s="252">
        <f t="shared" si="28"/>
        <v>0</v>
      </c>
    </row>
    <row r="209" spans="1:48" ht="20.25" customHeight="1">
      <c r="A209" s="364"/>
      <c r="B209" s="364"/>
      <c r="C209" s="364"/>
      <c r="D209" s="364"/>
      <c r="H209" s="358" t="s">
        <v>1586</v>
      </c>
      <c r="O209" s="358" t="s">
        <v>1586</v>
      </c>
      <c r="W209" s="253"/>
      <c r="AU209" s="252">
        <f t="shared" si="27"/>
        <v>0</v>
      </c>
      <c r="AV209" s="252">
        <f t="shared" si="28"/>
        <v>0</v>
      </c>
    </row>
    <row r="210" spans="1:48" ht="20.25" customHeight="1">
      <c r="A210" s="364"/>
      <c r="B210" s="364"/>
      <c r="C210" s="364"/>
      <c r="D210" s="364"/>
      <c r="F210" s="252">
        <v>9</v>
      </c>
      <c r="G210" s="252" t="s">
        <v>869</v>
      </c>
      <c r="H210" s="296" t="s">
        <v>691</v>
      </c>
      <c r="I210" s="252">
        <f>C73</f>
        <v>1807.94</v>
      </c>
      <c r="J210" s="296" t="s">
        <v>869</v>
      </c>
      <c r="K210" s="252">
        <f>(F210*I210)</f>
        <v>16271.46</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0.25" customHeight="1">
      <c r="A211" s="364"/>
      <c r="B211" s="364"/>
      <c r="C211" s="364"/>
      <c r="D211" s="364"/>
      <c r="F211" s="252">
        <v>4.5</v>
      </c>
      <c r="G211" s="252" t="s">
        <v>869</v>
      </c>
      <c r="H211" s="296" t="s">
        <v>119</v>
      </c>
      <c r="I211" s="252">
        <f>K23</f>
        <v>6206.38</v>
      </c>
      <c r="J211" s="296" t="s">
        <v>869</v>
      </c>
      <c r="K211" s="252">
        <f>(F211*I211)</f>
        <v>27928.71</v>
      </c>
      <c r="M211" s="400">
        <v>1.013E-2</v>
      </c>
      <c r="N211" s="296" t="s">
        <v>869</v>
      </c>
      <c r="O211" s="296" t="s">
        <v>693</v>
      </c>
      <c r="P211" s="252">
        <f>C89</f>
        <v>99400</v>
      </c>
      <c r="Q211" s="296" t="s">
        <v>869</v>
      </c>
      <c r="R211" s="252">
        <f t="shared" si="30"/>
        <v>1006.92</v>
      </c>
      <c r="W211" s="253"/>
      <c r="AU211" s="252">
        <f t="shared" si="27"/>
        <v>0</v>
      </c>
      <c r="AV211" s="252">
        <f t="shared" si="28"/>
        <v>0</v>
      </c>
    </row>
    <row r="212" spans="1:48" ht="20.25"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0.25"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0.25"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0.25"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0.25"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0.25" customHeight="1">
      <c r="A217" s="364"/>
      <c r="B217" s="364"/>
      <c r="C217" s="364"/>
      <c r="D217" s="364"/>
      <c r="K217" s="252">
        <f>SUM(K210:K215)</f>
        <v>64929.87</v>
      </c>
      <c r="M217" s="252">
        <v>1</v>
      </c>
      <c r="N217" s="296" t="s">
        <v>868</v>
      </c>
      <c r="O217" s="296" t="s">
        <v>1980</v>
      </c>
      <c r="P217" s="252">
        <f>C288</f>
        <v>7.3</v>
      </c>
      <c r="Q217" s="296" t="s">
        <v>868</v>
      </c>
      <c r="R217" s="252">
        <f t="shared" si="30"/>
        <v>7.3</v>
      </c>
      <c r="W217" s="253"/>
      <c r="AU217" s="252">
        <f t="shared" si="27"/>
        <v>0</v>
      </c>
      <c r="AV217" s="252">
        <f t="shared" si="28"/>
        <v>0</v>
      </c>
    </row>
    <row r="218" spans="1:48" ht="20.25"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0.25" customHeight="1">
      <c r="A219" s="364"/>
      <c r="B219" s="364"/>
      <c r="C219" s="364"/>
      <c r="D219" s="364"/>
      <c r="K219" s="274">
        <f>(K217/10)</f>
        <v>6492.99</v>
      </c>
      <c r="M219" s="252">
        <v>1</v>
      </c>
      <c r="N219" s="296" t="s">
        <v>868</v>
      </c>
      <c r="O219" s="296" t="s">
        <v>1982</v>
      </c>
      <c r="P219" s="252">
        <f>D598</f>
        <v>49.55</v>
      </c>
      <c r="Q219" s="296" t="s">
        <v>868</v>
      </c>
      <c r="R219" s="252">
        <f t="shared" si="30"/>
        <v>49.55</v>
      </c>
      <c r="W219" s="253"/>
    </row>
    <row r="220" spans="1:48" ht="20.25" customHeight="1">
      <c r="A220" s="364"/>
      <c r="B220" s="364"/>
      <c r="C220" s="364"/>
      <c r="D220" s="364"/>
      <c r="H220" s="255" t="s">
        <v>773</v>
      </c>
      <c r="K220" s="358" t="s">
        <v>2055</v>
      </c>
      <c r="R220" s="358" t="s">
        <v>1586</v>
      </c>
      <c r="W220" s="253"/>
    </row>
    <row r="221" spans="1:48" ht="20.25" customHeight="1">
      <c r="A221" s="364"/>
      <c r="B221" s="364"/>
      <c r="C221" s="364"/>
      <c r="D221" s="364"/>
      <c r="O221" s="253" t="s">
        <v>1983</v>
      </c>
      <c r="R221" s="252">
        <f>SUM(R210:R219)</f>
        <v>4864.5200000000004</v>
      </c>
      <c r="W221" s="253"/>
    </row>
    <row r="222" spans="1:48" ht="20.25" customHeight="1">
      <c r="A222" s="364"/>
      <c r="B222" s="364"/>
      <c r="C222" s="364"/>
      <c r="D222" s="364"/>
      <c r="F222" s="253" t="s">
        <v>2071</v>
      </c>
      <c r="G222" s="252" t="s">
        <v>2251</v>
      </c>
      <c r="H222" s="296" t="s">
        <v>6081</v>
      </c>
      <c r="N222" s="296" t="s">
        <v>975</v>
      </c>
      <c r="R222" s="358" t="s">
        <v>1586</v>
      </c>
      <c r="W222" s="253"/>
    </row>
    <row r="223" spans="1:48" ht="20.25" customHeight="1">
      <c r="A223" s="364"/>
      <c r="B223" s="364"/>
      <c r="C223" s="364"/>
      <c r="D223" s="364"/>
      <c r="H223" s="296" t="s">
        <v>2072</v>
      </c>
      <c r="M223" s="296" t="s">
        <v>975</v>
      </c>
      <c r="W223" s="253"/>
    </row>
    <row r="224" spans="1:48" ht="20.25" customHeight="1">
      <c r="A224" s="364"/>
      <c r="B224" s="364"/>
      <c r="C224" s="364"/>
      <c r="D224" s="364"/>
      <c r="H224" s="358" t="s">
        <v>1586</v>
      </c>
      <c r="O224" s="253" t="s">
        <v>552</v>
      </c>
      <c r="R224" s="252">
        <f>R221/M213</f>
        <v>3954.89</v>
      </c>
      <c r="W224" s="253"/>
    </row>
    <row r="225" spans="1:23" ht="20.25" customHeight="1">
      <c r="A225" s="364"/>
      <c r="B225" s="364"/>
      <c r="C225" s="364"/>
      <c r="D225" s="364"/>
      <c r="F225" s="252">
        <v>9</v>
      </c>
      <c r="G225" s="252" t="s">
        <v>869</v>
      </c>
      <c r="H225" s="296" t="s">
        <v>1810</v>
      </c>
      <c r="I225" s="252">
        <f>AC20</f>
        <v>801.98</v>
      </c>
      <c r="J225" s="296" t="s">
        <v>869</v>
      </c>
      <c r="K225" s="252">
        <f>(F225*I225)</f>
        <v>7217.82</v>
      </c>
      <c r="M225" s="296" t="s">
        <v>321</v>
      </c>
      <c r="W225" s="253"/>
    </row>
    <row r="226" spans="1:23" ht="20.25" customHeight="1">
      <c r="A226" s="364"/>
      <c r="B226" s="364"/>
      <c r="C226" s="364"/>
      <c r="D226" s="364"/>
      <c r="F226" s="252">
        <v>4.5</v>
      </c>
      <c r="G226" s="252" t="s">
        <v>869</v>
      </c>
      <c r="H226" s="296" t="s">
        <v>1632</v>
      </c>
      <c r="I226" s="252">
        <f>K77</f>
        <v>2944.78</v>
      </c>
      <c r="J226" s="296" t="s">
        <v>869</v>
      </c>
      <c r="K226" s="252">
        <f>(F226*I226)</f>
        <v>13251.51</v>
      </c>
      <c r="W226" s="253"/>
    </row>
    <row r="227" spans="1:23" ht="20.25" customHeight="1">
      <c r="A227" s="364"/>
      <c r="B227" s="364"/>
      <c r="C227" s="364"/>
      <c r="D227" s="364"/>
      <c r="F227" s="252">
        <v>1.8</v>
      </c>
      <c r="G227" s="252" t="s">
        <v>868</v>
      </c>
      <c r="H227" s="296" t="s">
        <v>1712</v>
      </c>
      <c r="I227" s="252">
        <f>C11</f>
        <v>932</v>
      </c>
      <c r="J227" s="296" t="s">
        <v>868</v>
      </c>
      <c r="K227" s="252">
        <f>(F227*I227)</f>
        <v>1677.6</v>
      </c>
      <c r="W227" s="253"/>
    </row>
    <row r="228" spans="1:23" ht="20.25"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6082</v>
      </c>
      <c r="Q228" s="296"/>
      <c r="W228" s="253"/>
    </row>
    <row r="229" spans="1:23" ht="20.25"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0.25" customHeight="1">
      <c r="A230" s="364"/>
      <c r="B230" s="364"/>
      <c r="C230" s="364"/>
      <c r="D230" s="364"/>
      <c r="G230" s="252" t="s">
        <v>449</v>
      </c>
      <c r="H230" s="296" t="s">
        <v>450</v>
      </c>
      <c r="J230" s="296" t="s">
        <v>449</v>
      </c>
      <c r="K230" s="252">
        <v>0</v>
      </c>
      <c r="O230" s="358" t="s">
        <v>1586</v>
      </c>
      <c r="Q230" s="296"/>
      <c r="W230" s="253"/>
    </row>
    <row r="231" spans="1:23" ht="20.25" customHeight="1">
      <c r="A231" s="364"/>
      <c r="B231" s="364"/>
      <c r="C231" s="364"/>
      <c r="D231" s="364"/>
      <c r="K231" s="358" t="s">
        <v>1586</v>
      </c>
      <c r="M231" s="252">
        <v>9</v>
      </c>
      <c r="N231" s="252" t="s">
        <v>869</v>
      </c>
      <c r="O231" s="296" t="s">
        <v>2274</v>
      </c>
      <c r="P231" s="252">
        <f>AC15</f>
        <v>1388.74</v>
      </c>
      <c r="Q231" s="296" t="s">
        <v>869</v>
      </c>
      <c r="R231" s="252">
        <f>(M231*P231)</f>
        <v>12498.66</v>
      </c>
      <c r="W231" s="253"/>
    </row>
    <row r="232" spans="1:23" ht="20.25" customHeight="1">
      <c r="A232" s="364"/>
      <c r="B232" s="364"/>
      <c r="C232" s="364"/>
      <c r="D232" s="364"/>
      <c r="K232" s="252">
        <f>SUM(K225:K230)</f>
        <v>41199.03</v>
      </c>
      <c r="M232" s="252">
        <v>4.5</v>
      </c>
      <c r="N232" s="252" t="s">
        <v>869</v>
      </c>
      <c r="O232" s="296" t="s">
        <v>1307</v>
      </c>
      <c r="P232" s="252">
        <f>K40</f>
        <v>4031.98</v>
      </c>
      <c r="Q232" s="296" t="s">
        <v>869</v>
      </c>
      <c r="R232" s="252">
        <f>(M232*P232)</f>
        <v>18143.91</v>
      </c>
      <c r="W232" s="253"/>
    </row>
    <row r="233" spans="1:23" ht="20.25"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0.25" customHeight="1">
      <c r="A234" s="364"/>
      <c r="B234" s="364"/>
      <c r="C234" s="364"/>
      <c r="D234" s="364"/>
      <c r="K234" s="274">
        <f>(K232/10)</f>
        <v>4119.8999999999996</v>
      </c>
      <c r="M234" s="252">
        <v>17.7</v>
      </c>
      <c r="N234" s="252" t="s">
        <v>868</v>
      </c>
      <c r="O234" s="296" t="s">
        <v>1902</v>
      </c>
      <c r="P234" s="252">
        <f>I228</f>
        <v>651</v>
      </c>
      <c r="Q234" s="296" t="s">
        <v>868</v>
      </c>
      <c r="R234" s="252">
        <f>(M234*P234)</f>
        <v>11522.7</v>
      </c>
      <c r="W234" s="253"/>
    </row>
    <row r="235" spans="1:23" ht="20.25"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0.25" customHeight="1">
      <c r="A236" s="364"/>
      <c r="B236" s="364"/>
      <c r="C236" s="364"/>
      <c r="D236" s="364"/>
      <c r="N236" s="252" t="s">
        <v>449</v>
      </c>
      <c r="O236" s="296" t="s">
        <v>450</v>
      </c>
      <c r="Q236" s="296" t="s">
        <v>449</v>
      </c>
      <c r="R236" s="252">
        <v>0</v>
      </c>
      <c r="W236" s="253"/>
    </row>
    <row r="237" spans="1:23" ht="20.25" customHeight="1">
      <c r="A237" s="364"/>
      <c r="B237" s="364"/>
      <c r="C237" s="364"/>
      <c r="D237" s="364"/>
      <c r="Q237" s="296"/>
      <c r="R237" s="358" t="s">
        <v>1586</v>
      </c>
      <c r="W237" s="253"/>
    </row>
    <row r="238" spans="1:23" ht="20.25" customHeight="1">
      <c r="A238" s="364"/>
      <c r="B238" s="364"/>
      <c r="C238" s="364"/>
      <c r="D238" s="364"/>
      <c r="F238" s="375">
        <v>3.6</v>
      </c>
      <c r="H238" s="296" t="s">
        <v>6083</v>
      </c>
      <c r="Q238" s="296"/>
      <c r="R238" s="252">
        <f>SUM(R231:R236)</f>
        <v>51372.27</v>
      </c>
      <c r="W238" s="253"/>
    </row>
    <row r="239" spans="1:23" ht="20.25" customHeight="1">
      <c r="A239" s="364"/>
      <c r="B239" s="364"/>
      <c r="C239" s="364"/>
      <c r="D239" s="364"/>
      <c r="H239" s="296" t="s">
        <v>641</v>
      </c>
      <c r="O239" s="296" t="s">
        <v>614</v>
      </c>
      <c r="Q239" s="296"/>
      <c r="R239" s="358" t="s">
        <v>1586</v>
      </c>
      <c r="W239" s="253"/>
    </row>
    <row r="240" spans="1:23" ht="20.25" customHeight="1">
      <c r="A240" s="364"/>
      <c r="B240" s="364"/>
      <c r="C240" s="364"/>
      <c r="D240" s="364"/>
      <c r="H240" s="358" t="s">
        <v>2055</v>
      </c>
      <c r="Q240" s="296"/>
      <c r="R240" s="274">
        <f>(R238/10)</f>
        <v>5137.2299999999996</v>
      </c>
      <c r="W240" s="253"/>
    </row>
    <row r="241" spans="1:23" ht="20.25"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0.25" customHeight="1">
      <c r="A242" s="364"/>
      <c r="B242" s="364"/>
      <c r="C242" s="364"/>
      <c r="D242" s="364"/>
      <c r="F242" s="252">
        <v>0.75</v>
      </c>
      <c r="G242" s="252" t="s">
        <v>1341</v>
      </c>
      <c r="H242" s="296" t="s">
        <v>747</v>
      </c>
      <c r="I242" s="252">
        <f>AC37</f>
        <v>1234.3900000000001</v>
      </c>
      <c r="J242" s="296" t="s">
        <v>1341</v>
      </c>
      <c r="K242" s="252">
        <f>(F242*I242)</f>
        <v>925.79</v>
      </c>
      <c r="W242" s="253"/>
    </row>
    <row r="243" spans="1:23" ht="20.25" customHeight="1">
      <c r="A243" s="364"/>
      <c r="B243" s="364"/>
      <c r="C243" s="364"/>
      <c r="D243" s="364"/>
      <c r="F243" s="252">
        <v>0.5</v>
      </c>
      <c r="G243" s="252" t="s">
        <v>1341</v>
      </c>
      <c r="H243" s="296" t="s">
        <v>2098</v>
      </c>
      <c r="I243" s="252">
        <f>AC36</f>
        <v>1401.44</v>
      </c>
      <c r="J243" s="296" t="s">
        <v>1341</v>
      </c>
      <c r="K243" s="252">
        <f>(F243*I243)</f>
        <v>700.72</v>
      </c>
      <c r="W243" s="253"/>
    </row>
    <row r="244" spans="1:23" ht="20.25" customHeight="1">
      <c r="A244" s="364"/>
      <c r="B244" s="364"/>
      <c r="C244" s="364"/>
      <c r="D244" s="364"/>
      <c r="F244" s="252">
        <v>0.45</v>
      </c>
      <c r="G244" s="252" t="s">
        <v>1341</v>
      </c>
      <c r="H244" s="296" t="s">
        <v>925</v>
      </c>
      <c r="I244" s="252">
        <f>AC38</f>
        <v>257.64999999999998</v>
      </c>
      <c r="J244" s="296" t="s">
        <v>1341</v>
      </c>
      <c r="K244" s="252">
        <f>(F244*I244)</f>
        <v>115.94</v>
      </c>
      <c r="W244" s="253"/>
    </row>
    <row r="245" spans="1:23" ht="20.25" customHeight="1">
      <c r="A245" s="364"/>
      <c r="B245" s="364"/>
      <c r="C245" s="364"/>
      <c r="D245" s="364"/>
      <c r="F245" s="252">
        <v>10</v>
      </c>
      <c r="G245" s="252" t="s">
        <v>233</v>
      </c>
      <c r="H245" s="296" t="s">
        <v>1915</v>
      </c>
      <c r="I245" s="399">
        <v>17.82</v>
      </c>
      <c r="J245" s="296" t="s">
        <v>233</v>
      </c>
      <c r="K245" s="252">
        <f>(F245*I245)</f>
        <v>178.2</v>
      </c>
      <c r="W245" s="253"/>
    </row>
    <row r="246" spans="1:23" ht="20.25" customHeight="1">
      <c r="A246" s="364"/>
      <c r="B246" s="364"/>
      <c r="C246" s="364"/>
      <c r="D246" s="364"/>
      <c r="H246" s="296" t="s">
        <v>1916</v>
      </c>
      <c r="K246" s="358" t="s">
        <v>1586</v>
      </c>
      <c r="W246" s="253"/>
    </row>
    <row r="247" spans="1:23" ht="20.25" customHeight="1">
      <c r="A247" s="364"/>
      <c r="B247" s="364"/>
      <c r="C247" s="364"/>
      <c r="D247" s="364"/>
      <c r="H247" s="296" t="s">
        <v>1917</v>
      </c>
      <c r="K247" s="252">
        <f>SUM(K241:K245)</f>
        <v>1924.59</v>
      </c>
      <c r="W247" s="253"/>
    </row>
    <row r="248" spans="1:23" ht="20.25" customHeight="1">
      <c r="A248" s="364"/>
      <c r="B248" s="364"/>
      <c r="C248" s="364"/>
      <c r="D248" s="364"/>
      <c r="K248" s="358" t="s">
        <v>1586</v>
      </c>
      <c r="W248" s="253"/>
    </row>
    <row r="249" spans="1:23" ht="20.25" customHeight="1">
      <c r="A249" s="364"/>
      <c r="B249" s="364"/>
      <c r="C249" s="364"/>
      <c r="D249" s="364"/>
      <c r="H249" s="255" t="s">
        <v>1918</v>
      </c>
      <c r="K249" s="274">
        <f>K247/10</f>
        <v>192.46</v>
      </c>
      <c r="W249" s="253"/>
    </row>
    <row r="250" spans="1:23" ht="20.25" customHeight="1">
      <c r="A250" s="364"/>
      <c r="B250" s="364"/>
      <c r="C250" s="364"/>
      <c r="D250" s="364"/>
      <c r="K250" s="358" t="s">
        <v>2055</v>
      </c>
      <c r="W250" s="253"/>
    </row>
    <row r="251" spans="1:23" ht="20.25" customHeight="1">
      <c r="A251" s="364"/>
      <c r="B251" s="364"/>
      <c r="C251" s="364"/>
      <c r="D251" s="364"/>
      <c r="W251" s="253"/>
    </row>
    <row r="252" spans="1:23" ht="20.25" customHeight="1">
      <c r="A252" s="364"/>
      <c r="B252" s="364"/>
      <c r="C252" s="364"/>
      <c r="D252" s="364"/>
      <c r="F252" s="375">
        <v>3.7</v>
      </c>
      <c r="H252" s="296" t="s">
        <v>6084</v>
      </c>
      <c r="W252" s="253"/>
    </row>
    <row r="253" spans="1:23" ht="20.25" customHeight="1">
      <c r="A253" s="364"/>
      <c r="B253" s="364"/>
      <c r="C253" s="364"/>
      <c r="D253" s="364"/>
      <c r="H253" s="358" t="s">
        <v>1586</v>
      </c>
      <c r="W253" s="253"/>
    </row>
    <row r="254" spans="1:23" ht="20.25" customHeight="1">
      <c r="A254" s="364"/>
      <c r="B254" s="364"/>
      <c r="C254" s="364"/>
      <c r="D254" s="364"/>
      <c r="F254" s="252">
        <v>2.7</v>
      </c>
      <c r="G254" s="252" t="s">
        <v>1341</v>
      </c>
      <c r="H254" s="296" t="s">
        <v>152</v>
      </c>
      <c r="I254" s="252">
        <f>AC35</f>
        <v>1279.94</v>
      </c>
      <c r="J254" s="296" t="s">
        <v>1341</v>
      </c>
      <c r="K254" s="252">
        <f>(F254*I254)</f>
        <v>3455.84</v>
      </c>
      <c r="W254" s="253"/>
    </row>
    <row r="255" spans="1:23" ht="20.25" customHeight="1">
      <c r="A255" s="364"/>
      <c r="B255" s="364"/>
      <c r="C255" s="364"/>
      <c r="D255" s="364"/>
      <c r="F255" s="316">
        <v>0.14499999999999999</v>
      </c>
      <c r="G255" s="252" t="s">
        <v>1341</v>
      </c>
      <c r="H255" s="296" t="s">
        <v>912</v>
      </c>
      <c r="I255" s="252">
        <f>AC17</f>
        <v>1741.58</v>
      </c>
      <c r="J255" s="296" t="s">
        <v>1341</v>
      </c>
      <c r="K255" s="252">
        <f>(F255*I255)</f>
        <v>252.53</v>
      </c>
      <c r="W255" s="253"/>
    </row>
    <row r="256" spans="1:23" ht="20.25" customHeight="1">
      <c r="A256" s="364"/>
      <c r="B256" s="364"/>
      <c r="C256" s="364"/>
      <c r="D256" s="364"/>
      <c r="F256" s="252">
        <v>218.8</v>
      </c>
      <c r="G256" s="252" t="s">
        <v>913</v>
      </c>
      <c r="H256" s="296" t="s">
        <v>914</v>
      </c>
      <c r="I256" s="252">
        <f>C142</f>
        <v>43563.69</v>
      </c>
      <c r="J256" s="296" t="s">
        <v>528</v>
      </c>
      <c r="K256" s="252">
        <f>(F256*I256)/1000</f>
        <v>9531.74</v>
      </c>
      <c r="W256" s="253"/>
    </row>
    <row r="257" spans="1:33" ht="20.25" customHeight="1">
      <c r="A257" s="364"/>
      <c r="B257" s="364"/>
      <c r="C257" s="364"/>
      <c r="D257" s="364"/>
      <c r="F257" s="252">
        <v>100</v>
      </c>
      <c r="G257" s="252" t="s">
        <v>233</v>
      </c>
      <c r="H257" s="296" t="s">
        <v>915</v>
      </c>
      <c r="I257" s="399">
        <v>14.3</v>
      </c>
      <c r="J257" s="296" t="s">
        <v>233</v>
      </c>
      <c r="K257" s="252">
        <f>(F257*I257)</f>
        <v>1430</v>
      </c>
      <c r="W257" s="253"/>
    </row>
    <row r="258" spans="1:33" ht="20.25" customHeight="1">
      <c r="A258" s="364"/>
      <c r="B258" s="364"/>
      <c r="C258" s="364"/>
      <c r="D258" s="364"/>
      <c r="K258" s="358" t="s">
        <v>1586</v>
      </c>
      <c r="W258" s="253"/>
    </row>
    <row r="259" spans="1:33" ht="20.25" customHeight="1">
      <c r="A259" s="364"/>
      <c r="B259" s="364"/>
      <c r="C259" s="364"/>
      <c r="D259" s="364"/>
      <c r="H259" s="296" t="s">
        <v>916</v>
      </c>
      <c r="K259" s="252">
        <f>SUM(K254:K257)</f>
        <v>14670.11</v>
      </c>
      <c r="W259" s="253"/>
    </row>
    <row r="260" spans="1:33" ht="20.25" customHeight="1">
      <c r="A260" s="364"/>
      <c r="B260" s="364"/>
      <c r="C260" s="364"/>
      <c r="D260" s="364"/>
      <c r="K260" s="358" t="s">
        <v>1586</v>
      </c>
      <c r="W260" s="253"/>
    </row>
    <row r="261" spans="1:33" ht="20.25" customHeight="1">
      <c r="A261" s="364"/>
      <c r="B261" s="364"/>
      <c r="C261" s="364"/>
      <c r="D261" s="364"/>
      <c r="H261" s="255" t="s">
        <v>1918</v>
      </c>
      <c r="K261" s="274">
        <f>K259/100</f>
        <v>146.69999999999999</v>
      </c>
      <c r="W261" s="253"/>
    </row>
    <row r="262" spans="1:33" ht="20.25" customHeight="1">
      <c r="A262" s="364"/>
      <c r="B262" s="364"/>
      <c r="C262" s="364"/>
      <c r="D262" s="364"/>
      <c r="F262" s="296" t="s">
        <v>975</v>
      </c>
      <c r="G262" s="252" t="s">
        <v>975</v>
      </c>
      <c r="K262" s="358" t="s">
        <v>2055</v>
      </c>
      <c r="W262" s="253"/>
    </row>
    <row r="263" spans="1:33" ht="20.25" customHeight="1">
      <c r="A263" s="364"/>
      <c r="B263" s="364"/>
      <c r="C263" s="364"/>
      <c r="D263" s="364"/>
      <c r="W263" s="253"/>
    </row>
    <row r="264" spans="1:33" ht="20.25" customHeight="1">
      <c r="A264" s="364"/>
      <c r="B264" s="364"/>
      <c r="C264" s="364"/>
      <c r="D264" s="364"/>
      <c r="W264" s="253"/>
    </row>
    <row r="265" spans="1:33" ht="20.25" customHeight="1">
      <c r="A265" s="363">
        <f>(A206+1)</f>
        <v>105</v>
      </c>
      <c r="B265" s="296" t="s">
        <v>5266</v>
      </c>
      <c r="C265" s="362">
        <v>140.65</v>
      </c>
      <c r="D265" s="365" t="s">
        <v>769</v>
      </c>
      <c r="F265" s="253" t="s">
        <v>674</v>
      </c>
      <c r="H265" s="296" t="s">
        <v>1606</v>
      </c>
      <c r="N265" s="296" t="s">
        <v>675</v>
      </c>
      <c r="O265" s="296" t="s">
        <v>834</v>
      </c>
      <c r="W265" s="253"/>
      <c r="AG265" s="296"/>
    </row>
    <row r="266" spans="1:33" ht="20.25" customHeight="1">
      <c r="A266" s="363">
        <f t="shared" ref="A266:A280" si="31">(A265+1)</f>
        <v>106</v>
      </c>
      <c r="B266" s="296" t="s">
        <v>5841</v>
      </c>
      <c r="C266" s="362">
        <v>170.35</v>
      </c>
      <c r="D266" s="365" t="s">
        <v>769</v>
      </c>
      <c r="H266" s="358" t="s">
        <v>2055</v>
      </c>
      <c r="O266" s="358" t="s">
        <v>1586</v>
      </c>
      <c r="W266" s="253"/>
      <c r="AG266" s="296"/>
    </row>
    <row r="267" spans="1:33" ht="20.25" customHeight="1">
      <c r="A267" s="363">
        <f t="shared" si="31"/>
        <v>107</v>
      </c>
      <c r="B267" s="401" t="s">
        <v>5842</v>
      </c>
      <c r="C267" s="402">
        <v>63</v>
      </c>
      <c r="D267" s="362">
        <v>156</v>
      </c>
      <c r="E267" s="252" t="s">
        <v>5843</v>
      </c>
      <c r="G267" s="252" t="s">
        <v>2251</v>
      </c>
      <c r="H267" s="296" t="s">
        <v>401</v>
      </c>
      <c r="M267" s="252">
        <v>1.1399999999999999</v>
      </c>
      <c r="N267" s="296" t="s">
        <v>869</v>
      </c>
      <c r="O267" s="296" t="s">
        <v>2279</v>
      </c>
      <c r="P267" s="252">
        <f>(K420)</f>
        <v>6346.14</v>
      </c>
      <c r="Q267" s="296" t="s">
        <v>868</v>
      </c>
      <c r="R267" s="252">
        <f>(M267*P267)</f>
        <v>7234.6</v>
      </c>
      <c r="W267" s="253"/>
      <c r="AG267" s="296"/>
    </row>
    <row r="268" spans="1:33" ht="20.25" customHeight="1">
      <c r="A268" s="363">
        <f t="shared" si="31"/>
        <v>108</v>
      </c>
      <c r="B268" s="389" t="s">
        <v>5844</v>
      </c>
      <c r="C268" s="362">
        <v>17600</v>
      </c>
      <c r="D268" s="365" t="s">
        <v>869</v>
      </c>
      <c r="H268" s="296" t="s">
        <v>2269</v>
      </c>
      <c r="M268" s="252">
        <v>1</v>
      </c>
      <c r="N268" s="296" t="s">
        <v>769</v>
      </c>
      <c r="O268" s="296" t="s">
        <v>2009</v>
      </c>
      <c r="P268" s="252">
        <f>(C10)</f>
        <v>999</v>
      </c>
      <c r="Q268" s="296" t="s">
        <v>868</v>
      </c>
      <c r="R268" s="252">
        <f>(M268*P268)</f>
        <v>999</v>
      </c>
      <c r="W268" s="253"/>
      <c r="AG268" s="296"/>
    </row>
    <row r="269" spans="1:33" ht="20.25" customHeight="1">
      <c r="A269" s="363">
        <f t="shared" si="31"/>
        <v>109</v>
      </c>
      <c r="B269" s="296" t="s">
        <v>5845</v>
      </c>
      <c r="C269" s="362">
        <v>15500</v>
      </c>
      <c r="D269" s="365" t="s">
        <v>869</v>
      </c>
      <c r="H269" s="358" t="s">
        <v>1586</v>
      </c>
      <c r="N269" s="296" t="s">
        <v>449</v>
      </c>
      <c r="O269" s="296" t="s">
        <v>450</v>
      </c>
      <c r="P269" s="296" t="s">
        <v>975</v>
      </c>
      <c r="Q269" s="296" t="s">
        <v>449</v>
      </c>
      <c r="R269" s="252">
        <v>0.05</v>
      </c>
      <c r="W269" s="253"/>
      <c r="AG269" s="296"/>
    </row>
    <row r="270" spans="1:33" ht="20.25" customHeight="1">
      <c r="A270" s="363">
        <f t="shared" si="31"/>
        <v>110</v>
      </c>
      <c r="B270" s="296" t="s">
        <v>5846</v>
      </c>
      <c r="C270" s="362">
        <v>25.2</v>
      </c>
      <c r="D270" s="365" t="s">
        <v>769</v>
      </c>
      <c r="F270" s="252">
        <v>9</v>
      </c>
      <c r="G270" s="252" t="s">
        <v>869</v>
      </c>
      <c r="H270" s="296" t="s">
        <v>439</v>
      </c>
      <c r="I270" s="252">
        <f>(C73)</f>
        <v>1807.94</v>
      </c>
      <c r="J270" s="296" t="s">
        <v>869</v>
      </c>
      <c r="K270" s="252">
        <f t="shared" ref="K270:K275" si="32">(F270*I270)</f>
        <v>16271.46</v>
      </c>
      <c r="R270" s="358" t="s">
        <v>1586</v>
      </c>
      <c r="W270" s="253"/>
      <c r="AG270" s="296"/>
    </row>
    <row r="271" spans="1:33" ht="20.25" customHeight="1">
      <c r="A271" s="363">
        <f t="shared" si="31"/>
        <v>111</v>
      </c>
      <c r="B271" s="296" t="s">
        <v>5267</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8233.65</v>
      </c>
      <c r="W271" s="253"/>
      <c r="AG271" s="296"/>
    </row>
    <row r="272" spans="1:33" ht="20.25" customHeight="1">
      <c r="A272" s="363">
        <f t="shared" si="31"/>
        <v>112</v>
      </c>
      <c r="B272" s="296" t="s">
        <v>5268</v>
      </c>
      <c r="C272" s="362">
        <v>306.89999999999998</v>
      </c>
      <c r="D272" s="314">
        <v>452.09</v>
      </c>
      <c r="E272" s="314">
        <v>250</v>
      </c>
      <c r="F272" s="252">
        <v>4.5</v>
      </c>
      <c r="G272" s="252" t="s">
        <v>869</v>
      </c>
      <c r="H272" s="296" t="s">
        <v>870</v>
      </c>
      <c r="I272" s="252">
        <f>(C78)</f>
        <v>1741.58</v>
      </c>
      <c r="J272" s="296" t="s">
        <v>869</v>
      </c>
      <c r="K272" s="252">
        <f t="shared" si="32"/>
        <v>7837.11</v>
      </c>
      <c r="R272" s="358" t="s">
        <v>1586</v>
      </c>
      <c r="W272" s="253"/>
      <c r="AG272" s="296"/>
    </row>
    <row r="273" spans="1:33" ht="20.25" customHeight="1">
      <c r="A273" s="363">
        <f t="shared" si="31"/>
        <v>113</v>
      </c>
      <c r="B273" s="296" t="s">
        <v>5269</v>
      </c>
      <c r="C273" s="362">
        <v>144.1</v>
      </c>
      <c r="D273" s="365" t="s">
        <v>1771</v>
      </c>
      <c r="F273" s="252">
        <v>3.5</v>
      </c>
      <c r="G273" s="252" t="s">
        <v>868</v>
      </c>
      <c r="H273" s="296" t="s">
        <v>1712</v>
      </c>
      <c r="I273" s="252">
        <f>(C11)</f>
        <v>932</v>
      </c>
      <c r="J273" s="296" t="s">
        <v>868</v>
      </c>
      <c r="K273" s="252">
        <f t="shared" si="32"/>
        <v>3262</v>
      </c>
      <c r="O273" s="296" t="s">
        <v>552</v>
      </c>
      <c r="R273" s="252">
        <f>(R271/10)</f>
        <v>823.37</v>
      </c>
      <c r="W273" s="253"/>
      <c r="AG273" s="296"/>
    </row>
    <row r="274" spans="1:33" ht="20.25" customHeight="1">
      <c r="A274" s="363">
        <f t="shared" si="31"/>
        <v>114</v>
      </c>
      <c r="B274" s="296" t="s">
        <v>5270</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0.25" customHeight="1">
      <c r="A275" s="363">
        <f t="shared" si="31"/>
        <v>115</v>
      </c>
      <c r="B275" s="296" t="s">
        <v>5271</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832.36</v>
      </c>
      <c r="W275" s="253"/>
      <c r="Y275" s="356"/>
      <c r="Z275" s="356"/>
      <c r="AG275" s="296"/>
    </row>
    <row r="276" spans="1:33" ht="20.25"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850.51</v>
      </c>
      <c r="W276" s="253"/>
      <c r="Y276" s="356"/>
      <c r="Z276" s="356"/>
      <c r="AG276" s="296"/>
    </row>
    <row r="277" spans="1:33" ht="20.25" customHeight="1">
      <c r="A277" s="363">
        <f t="shared" si="31"/>
        <v>117</v>
      </c>
      <c r="B277" s="296" t="s">
        <v>5272</v>
      </c>
      <c r="C277" s="362">
        <v>32.1</v>
      </c>
      <c r="D277" s="387">
        <v>6.25</v>
      </c>
      <c r="K277" s="358" t="s">
        <v>1586</v>
      </c>
      <c r="N277" s="296" t="s">
        <v>672</v>
      </c>
      <c r="O277" s="296" t="s">
        <v>2232</v>
      </c>
      <c r="R277" s="252">
        <f>(R276+C21/10*M267)</f>
        <v>868.66</v>
      </c>
      <c r="W277" s="253"/>
      <c r="Y277" s="356"/>
      <c r="Z277" s="356"/>
      <c r="AG277" s="296"/>
    </row>
    <row r="278" spans="1:33" ht="20.25" customHeight="1">
      <c r="A278" s="363">
        <f t="shared" si="31"/>
        <v>118</v>
      </c>
      <c r="B278" s="296" t="s">
        <v>5273</v>
      </c>
      <c r="C278" s="362">
        <v>364.6</v>
      </c>
      <c r="D278" s="365" t="s">
        <v>609</v>
      </c>
      <c r="H278" s="296" t="s">
        <v>2171</v>
      </c>
      <c r="K278" s="252">
        <f>SUM(K270:K276)</f>
        <v>79537.210000000006</v>
      </c>
      <c r="N278" s="296" t="s">
        <v>2172</v>
      </c>
      <c r="O278" s="296" t="s">
        <v>380</v>
      </c>
      <c r="R278" s="252">
        <f>(R277+C21/10*M267)</f>
        <v>886.81</v>
      </c>
      <c r="W278" s="253"/>
      <c r="Y278" s="356"/>
      <c r="Z278" s="356"/>
      <c r="AG278" s="296"/>
    </row>
    <row r="279" spans="1:33" ht="20.25" customHeight="1">
      <c r="A279" s="363">
        <f t="shared" si="31"/>
        <v>119</v>
      </c>
      <c r="B279" s="296" t="s">
        <v>5274</v>
      </c>
      <c r="C279" s="362">
        <v>89.6</v>
      </c>
      <c r="D279" s="365" t="s">
        <v>769</v>
      </c>
      <c r="K279" s="358" t="s">
        <v>1586</v>
      </c>
      <c r="W279" s="253"/>
      <c r="Z279" s="356"/>
      <c r="AG279" s="296"/>
    </row>
    <row r="280" spans="1:33" ht="20.25" customHeight="1">
      <c r="A280" s="363">
        <f t="shared" si="31"/>
        <v>120</v>
      </c>
      <c r="B280" s="296" t="s">
        <v>5275</v>
      </c>
      <c r="C280" s="362">
        <v>71.900000000000006</v>
      </c>
      <c r="D280" s="365" t="s">
        <v>769</v>
      </c>
      <c r="H280" s="255" t="s">
        <v>773</v>
      </c>
      <c r="K280" s="274">
        <f>(K278/10)</f>
        <v>7953.72</v>
      </c>
      <c r="R280" s="296" t="s">
        <v>975</v>
      </c>
      <c r="W280" s="253"/>
      <c r="AG280" s="296"/>
    </row>
    <row r="281" spans="1:33" ht="20.25" customHeight="1">
      <c r="A281" s="364"/>
      <c r="C281" s="362"/>
      <c r="D281" s="364"/>
      <c r="F281" s="296" t="s">
        <v>975</v>
      </c>
      <c r="N281" s="296" t="s">
        <v>675</v>
      </c>
      <c r="O281" s="296" t="s">
        <v>2173</v>
      </c>
      <c r="W281" s="253"/>
    </row>
    <row r="282" spans="1:33" ht="20.25" customHeight="1">
      <c r="A282" s="363">
        <f>(A280+1)</f>
        <v>121</v>
      </c>
      <c r="B282" s="296" t="s">
        <v>5276</v>
      </c>
      <c r="C282" s="362">
        <v>49.35</v>
      </c>
      <c r="D282" s="365" t="s">
        <v>769</v>
      </c>
      <c r="O282" s="296" t="s">
        <v>1583</v>
      </c>
      <c r="W282" s="253"/>
      <c r="AG282" s="296"/>
    </row>
    <row r="283" spans="1:33" ht="20.25" customHeight="1">
      <c r="A283" s="363">
        <f t="shared" ref="A283:A346" si="33">(A282+1)</f>
        <v>122</v>
      </c>
      <c r="B283" s="296" t="s">
        <v>5277</v>
      </c>
      <c r="C283" s="362">
        <v>39.85</v>
      </c>
      <c r="D283" s="365" t="s">
        <v>769</v>
      </c>
      <c r="F283" s="252">
        <v>1</v>
      </c>
      <c r="G283" s="252" t="s">
        <v>869</v>
      </c>
      <c r="H283" s="296" t="s">
        <v>44</v>
      </c>
      <c r="K283" s="252">
        <f>(C25)</f>
        <v>94.2</v>
      </c>
      <c r="O283" s="358" t="s">
        <v>1586</v>
      </c>
      <c r="W283" s="253"/>
      <c r="AG283" s="296"/>
    </row>
    <row r="284" spans="1:33" ht="20.25" customHeight="1">
      <c r="A284" s="363">
        <f t="shared" si="33"/>
        <v>123</v>
      </c>
      <c r="B284" s="296" t="s">
        <v>5278</v>
      </c>
      <c r="C284" s="362">
        <v>64.8</v>
      </c>
      <c r="D284" s="365" t="s">
        <v>769</v>
      </c>
      <c r="K284" s="358" t="s">
        <v>1586</v>
      </c>
      <c r="M284" s="252">
        <v>10</v>
      </c>
      <c r="N284" s="296" t="s">
        <v>609</v>
      </c>
      <c r="O284" s="296" t="s">
        <v>45</v>
      </c>
      <c r="P284" s="252">
        <f>(K1241)</f>
        <v>1231.97</v>
      </c>
      <c r="Q284" s="296" t="s">
        <v>609</v>
      </c>
      <c r="R284" s="252">
        <f>(M284*P284)</f>
        <v>12319.7</v>
      </c>
      <c r="W284" s="253"/>
      <c r="AG284" s="296"/>
    </row>
    <row r="285" spans="1:33" ht="20.25" customHeight="1">
      <c r="A285" s="363">
        <f t="shared" si="33"/>
        <v>124</v>
      </c>
      <c r="B285" s="296" t="s">
        <v>5279</v>
      </c>
      <c r="C285" s="362">
        <v>39.700000000000003</v>
      </c>
      <c r="D285" s="365" t="s">
        <v>769</v>
      </c>
      <c r="E285" s="362">
        <v>57</v>
      </c>
      <c r="H285" s="296" t="s">
        <v>602</v>
      </c>
      <c r="K285" s="274">
        <f>SUM(K280:K283)</f>
        <v>8047.92</v>
      </c>
      <c r="M285" s="252">
        <v>1.1000000000000001</v>
      </c>
      <c r="N285" s="296" t="s">
        <v>868</v>
      </c>
      <c r="O285" s="296" t="s">
        <v>1712</v>
      </c>
      <c r="P285" s="252">
        <f>(C11)</f>
        <v>932</v>
      </c>
      <c r="Q285" s="296" t="s">
        <v>868</v>
      </c>
      <c r="R285" s="252">
        <f>(M285*P285)</f>
        <v>1025.2</v>
      </c>
      <c r="W285" s="253"/>
      <c r="AG285" s="296"/>
    </row>
    <row r="286" spans="1:33" ht="20.25" customHeight="1">
      <c r="A286" s="363">
        <f t="shared" si="33"/>
        <v>125</v>
      </c>
      <c r="B286" s="296" t="s">
        <v>5280</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0.25" customHeight="1">
      <c r="A287" s="363">
        <f t="shared" si="33"/>
        <v>126</v>
      </c>
      <c r="B287" s="296" t="s">
        <v>5281</v>
      </c>
      <c r="C287" s="362">
        <v>101.6</v>
      </c>
      <c r="D287" s="365" t="s">
        <v>769</v>
      </c>
      <c r="H287" s="296" t="s">
        <v>386</v>
      </c>
      <c r="K287" s="274">
        <f>(K285+C22)</f>
        <v>8167.77</v>
      </c>
      <c r="L287" s="252">
        <v>54</v>
      </c>
      <c r="M287" s="252">
        <v>1.1000000000000001</v>
      </c>
      <c r="N287" s="296" t="s">
        <v>868</v>
      </c>
      <c r="O287" s="296" t="s">
        <v>249</v>
      </c>
      <c r="P287" s="252">
        <f>(C13)</f>
        <v>534</v>
      </c>
      <c r="Q287" s="296" t="s">
        <v>868</v>
      </c>
      <c r="R287" s="252">
        <f>(M287*P287)</f>
        <v>587.4</v>
      </c>
      <c r="W287" s="253"/>
      <c r="AG287" s="296"/>
    </row>
    <row r="288" spans="1:33" ht="20.25" customHeight="1">
      <c r="A288" s="363">
        <f t="shared" si="33"/>
        <v>127</v>
      </c>
      <c r="B288" s="365" t="s">
        <v>4253</v>
      </c>
      <c r="C288" s="314">
        <v>7.3</v>
      </c>
      <c r="D288" s="365" t="s">
        <v>769</v>
      </c>
      <c r="H288" s="296" t="s">
        <v>388</v>
      </c>
      <c r="K288" s="274">
        <f>(K287+C23)</f>
        <v>8403.8700000000008</v>
      </c>
      <c r="L288" s="252">
        <v>107</v>
      </c>
      <c r="R288" s="358" t="s">
        <v>1586</v>
      </c>
      <c r="W288" s="253"/>
      <c r="AG288" s="296"/>
    </row>
    <row r="289" spans="1:33" ht="20.25" customHeight="1">
      <c r="A289" s="363">
        <f t="shared" si="33"/>
        <v>128</v>
      </c>
      <c r="B289" s="365" t="s">
        <v>1150</v>
      </c>
      <c r="C289" s="314">
        <v>7.3</v>
      </c>
      <c r="D289" s="365" t="s">
        <v>769</v>
      </c>
      <c r="H289" s="296" t="s">
        <v>2232</v>
      </c>
      <c r="K289" s="274">
        <f>(K288+C24)</f>
        <v>8639.9699999999993</v>
      </c>
      <c r="O289" s="296" t="s">
        <v>441</v>
      </c>
      <c r="R289" s="252">
        <f>SUM(R284:R287)</f>
        <v>14648.4</v>
      </c>
      <c r="W289" s="253"/>
      <c r="AG289" s="296"/>
    </row>
    <row r="290" spans="1:33" ht="20.25" customHeight="1">
      <c r="A290" s="363">
        <f t="shared" si="33"/>
        <v>129</v>
      </c>
      <c r="B290" s="365" t="s">
        <v>1151</v>
      </c>
      <c r="C290" s="372">
        <v>2.9</v>
      </c>
      <c r="D290" s="365" t="s">
        <v>1152</v>
      </c>
      <c r="H290" s="296" t="s">
        <v>380</v>
      </c>
      <c r="K290" s="274">
        <f>(K289+C24)</f>
        <v>8876.07</v>
      </c>
      <c r="R290" s="358" t="s">
        <v>1586</v>
      </c>
      <c r="W290" s="253"/>
      <c r="AG290" s="296"/>
    </row>
    <row r="291" spans="1:33" ht="20.25" customHeight="1">
      <c r="A291" s="363">
        <f t="shared" si="33"/>
        <v>130</v>
      </c>
      <c r="B291" s="365" t="s">
        <v>1153</v>
      </c>
      <c r="C291" s="314">
        <v>11.8</v>
      </c>
      <c r="D291" s="365" t="s">
        <v>1152</v>
      </c>
      <c r="H291" s="296" t="s">
        <v>488</v>
      </c>
      <c r="K291" s="274">
        <f>(K290+C24)</f>
        <v>9112.17</v>
      </c>
      <c r="O291" s="296" t="s">
        <v>552</v>
      </c>
      <c r="R291" s="252">
        <f>(R289/10)</f>
        <v>1464.84</v>
      </c>
      <c r="W291" s="253"/>
      <c r="AG291" s="296"/>
    </row>
    <row r="292" spans="1:33" ht="20.25" customHeight="1">
      <c r="A292" s="363">
        <f t="shared" si="33"/>
        <v>131</v>
      </c>
      <c r="B292" s="365" t="s">
        <v>489</v>
      </c>
      <c r="C292" s="314">
        <v>8.9</v>
      </c>
      <c r="D292" s="365" t="s">
        <v>769</v>
      </c>
      <c r="R292" s="358" t="s">
        <v>2055</v>
      </c>
      <c r="W292" s="253"/>
      <c r="AG292" s="296"/>
    </row>
    <row r="293" spans="1:33" ht="20.25" customHeight="1">
      <c r="A293" s="363">
        <f t="shared" si="33"/>
        <v>132</v>
      </c>
      <c r="B293" s="365" t="s">
        <v>490</v>
      </c>
      <c r="C293" s="314">
        <v>6.1</v>
      </c>
      <c r="D293" s="365" t="s">
        <v>769</v>
      </c>
      <c r="F293" s="253" t="s">
        <v>1512</v>
      </c>
      <c r="G293" s="252" t="s">
        <v>2251</v>
      </c>
      <c r="H293" s="296" t="s">
        <v>491</v>
      </c>
      <c r="W293" s="253"/>
      <c r="AG293" s="296"/>
    </row>
    <row r="294" spans="1:33" ht="20.25" customHeight="1">
      <c r="A294" s="363">
        <f t="shared" si="33"/>
        <v>133</v>
      </c>
      <c r="B294" s="365" t="s">
        <v>492</v>
      </c>
      <c r="C294" s="372">
        <v>5.75</v>
      </c>
      <c r="D294" s="365" t="s">
        <v>769</v>
      </c>
      <c r="H294" s="358" t="s">
        <v>2055</v>
      </c>
      <c r="N294" s="296" t="s">
        <v>2251</v>
      </c>
      <c r="O294" s="296" t="s">
        <v>1125</v>
      </c>
      <c r="W294" s="253"/>
      <c r="AG294" s="296"/>
    </row>
    <row r="295" spans="1:33" ht="20.25" customHeight="1">
      <c r="A295" s="363">
        <f t="shared" si="33"/>
        <v>134</v>
      </c>
      <c r="B295" s="365" t="s">
        <v>1126</v>
      </c>
      <c r="C295" s="372">
        <v>8.5</v>
      </c>
      <c r="D295" s="365" t="s">
        <v>769</v>
      </c>
      <c r="F295" s="252">
        <v>10</v>
      </c>
      <c r="G295" s="252" t="s">
        <v>869</v>
      </c>
      <c r="H295" s="296" t="s">
        <v>865</v>
      </c>
      <c r="I295" s="252">
        <f>(C68)</f>
        <v>768.34</v>
      </c>
      <c r="J295" s="296" t="s">
        <v>869</v>
      </c>
      <c r="K295" s="252">
        <f t="shared" ref="K295:K301" si="34">(F295*I295)</f>
        <v>7683.4</v>
      </c>
      <c r="O295" s="358" t="s">
        <v>1586</v>
      </c>
      <c r="W295" s="253"/>
      <c r="AG295" s="296"/>
    </row>
    <row r="296" spans="1:33" ht="20.25" customHeight="1">
      <c r="A296" s="363">
        <f t="shared" si="33"/>
        <v>135</v>
      </c>
      <c r="B296" s="365" t="s">
        <v>1260</v>
      </c>
      <c r="C296" s="372">
        <v>10</v>
      </c>
      <c r="D296" s="365" t="s">
        <v>769</v>
      </c>
      <c r="F296" s="252">
        <v>1</v>
      </c>
      <c r="G296" s="252" t="s">
        <v>869</v>
      </c>
      <c r="H296" s="296" t="s">
        <v>872</v>
      </c>
      <c r="I296" s="252">
        <f>(C69)</f>
        <v>967.34</v>
      </c>
      <c r="J296" s="296" t="s">
        <v>869</v>
      </c>
      <c r="K296" s="252">
        <f t="shared" si="34"/>
        <v>967.34</v>
      </c>
      <c r="M296" s="252">
        <v>0.14000000000000001</v>
      </c>
      <c r="N296" s="296" t="s">
        <v>869</v>
      </c>
      <c r="O296" s="296" t="s">
        <v>1353</v>
      </c>
      <c r="P296" s="252">
        <f>(K32)</f>
        <v>4756.78</v>
      </c>
      <c r="Q296" s="296" t="s">
        <v>869</v>
      </c>
      <c r="R296" s="252">
        <f>(M296*P296)</f>
        <v>665.95</v>
      </c>
      <c r="W296" s="253"/>
      <c r="AG296" s="296"/>
    </row>
    <row r="297" spans="1:33" ht="20.25" customHeight="1">
      <c r="A297" s="363">
        <f t="shared" si="33"/>
        <v>136</v>
      </c>
      <c r="B297" s="365" t="s">
        <v>1261</v>
      </c>
      <c r="C297" s="314">
        <v>7</v>
      </c>
      <c r="D297" s="365" t="s">
        <v>769</v>
      </c>
      <c r="F297" s="252">
        <v>3.4</v>
      </c>
      <c r="G297" s="252" t="s">
        <v>869</v>
      </c>
      <c r="H297" s="296" t="s">
        <v>1625</v>
      </c>
      <c r="I297" s="252">
        <f>(K49)</f>
        <v>3597.1</v>
      </c>
      <c r="J297" s="296" t="s">
        <v>869</v>
      </c>
      <c r="K297" s="252">
        <f t="shared" si="34"/>
        <v>12230.14</v>
      </c>
      <c r="M297" s="252">
        <v>1.1000000000000001</v>
      </c>
      <c r="N297" s="296" t="s">
        <v>868</v>
      </c>
      <c r="O297" s="296" t="s">
        <v>2009</v>
      </c>
      <c r="P297" s="252">
        <f>(C10)</f>
        <v>999</v>
      </c>
      <c r="Q297" s="296" t="s">
        <v>868</v>
      </c>
      <c r="R297" s="252">
        <f>(M297*P297)</f>
        <v>1098.9000000000001</v>
      </c>
      <c r="W297" s="253"/>
      <c r="AG297" s="296"/>
    </row>
    <row r="298" spans="1:33" ht="20.25"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0.25"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0.25"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0.25"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0.25" customHeight="1">
      <c r="A302" s="363">
        <f t="shared" si="33"/>
        <v>141</v>
      </c>
      <c r="B302" s="365" t="s">
        <v>495</v>
      </c>
      <c r="C302" s="372">
        <v>10</v>
      </c>
      <c r="D302" s="365" t="s">
        <v>769</v>
      </c>
      <c r="G302" s="252" t="s">
        <v>449</v>
      </c>
      <c r="H302" s="296" t="s">
        <v>450</v>
      </c>
      <c r="J302" s="296" t="s">
        <v>449</v>
      </c>
      <c r="K302" s="252">
        <v>0</v>
      </c>
      <c r="O302" s="296" t="s">
        <v>975</v>
      </c>
      <c r="R302" s="252">
        <f>SUM(R296:R300)</f>
        <v>2677.75</v>
      </c>
      <c r="W302" s="253"/>
      <c r="AG302" s="296"/>
    </row>
    <row r="303" spans="1:33" ht="20.25" customHeight="1">
      <c r="A303" s="363">
        <f t="shared" si="33"/>
        <v>142</v>
      </c>
      <c r="B303" s="365" t="s">
        <v>1805</v>
      </c>
      <c r="C303" s="372">
        <v>4</v>
      </c>
      <c r="D303" s="365" t="s">
        <v>769</v>
      </c>
      <c r="K303" s="358" t="s">
        <v>1586</v>
      </c>
      <c r="R303" s="358" t="s">
        <v>1586</v>
      </c>
      <c r="W303" s="253"/>
      <c r="AG303" s="296"/>
    </row>
    <row r="304" spans="1:33" ht="20.25" customHeight="1">
      <c r="A304" s="363">
        <f t="shared" si="33"/>
        <v>143</v>
      </c>
      <c r="B304" s="365" t="s">
        <v>1150</v>
      </c>
      <c r="C304" s="372">
        <v>8</v>
      </c>
      <c r="D304" s="365" t="s">
        <v>868</v>
      </c>
      <c r="H304" s="296" t="s">
        <v>614</v>
      </c>
      <c r="K304" s="252">
        <f>SUM(K295:K302)</f>
        <v>54561.48</v>
      </c>
      <c r="O304" s="296" t="s">
        <v>552</v>
      </c>
      <c r="R304" s="252">
        <f>(R302/10)</f>
        <v>267.77999999999997</v>
      </c>
      <c r="W304" s="253"/>
      <c r="AG304" s="296"/>
    </row>
    <row r="305" spans="1:33" ht="20.25" customHeight="1">
      <c r="A305" s="363">
        <f t="shared" si="33"/>
        <v>144</v>
      </c>
      <c r="B305" s="365" t="s">
        <v>1151</v>
      </c>
      <c r="C305" s="372">
        <v>8.5</v>
      </c>
      <c r="D305" s="365" t="s">
        <v>769</v>
      </c>
      <c r="K305" s="358" t="s">
        <v>1586</v>
      </c>
      <c r="N305" s="296" t="s">
        <v>2251</v>
      </c>
      <c r="O305" s="296" t="s">
        <v>496</v>
      </c>
      <c r="R305" s="358" t="s">
        <v>2055</v>
      </c>
      <c r="W305" s="253"/>
      <c r="AG305" s="296"/>
    </row>
    <row r="306" spans="1:33" ht="20.25" customHeight="1">
      <c r="A306" s="363">
        <f t="shared" si="33"/>
        <v>145</v>
      </c>
      <c r="B306" s="365" t="s">
        <v>604</v>
      </c>
      <c r="C306" s="372">
        <v>2.8</v>
      </c>
      <c r="D306" s="365" t="s">
        <v>769</v>
      </c>
      <c r="H306" s="255" t="s">
        <v>773</v>
      </c>
      <c r="K306" s="274">
        <f>(K304/10)</f>
        <v>5456.15</v>
      </c>
      <c r="O306" s="358" t="s">
        <v>1586</v>
      </c>
      <c r="W306" s="253"/>
      <c r="AG306" s="296"/>
    </row>
    <row r="307" spans="1:33" ht="20.25" customHeight="1">
      <c r="A307" s="363">
        <f t="shared" si="33"/>
        <v>146</v>
      </c>
      <c r="B307" s="365" t="s">
        <v>1984</v>
      </c>
      <c r="C307" s="372">
        <v>1.8</v>
      </c>
      <c r="D307" s="365" t="s">
        <v>769</v>
      </c>
      <c r="K307" s="358" t="s">
        <v>2055</v>
      </c>
      <c r="M307" s="252">
        <v>0.14000000000000001</v>
      </c>
      <c r="N307" s="296" t="s">
        <v>869</v>
      </c>
      <c r="O307" s="296" t="s">
        <v>119</v>
      </c>
      <c r="P307" s="252">
        <f>(K23)</f>
        <v>6206.38</v>
      </c>
      <c r="Q307" s="296" t="s">
        <v>869</v>
      </c>
      <c r="R307" s="252">
        <f>(M307*P307)</f>
        <v>868.89</v>
      </c>
      <c r="W307" s="253"/>
      <c r="AG307" s="296"/>
    </row>
    <row r="308" spans="1:33" ht="20.25" customHeight="1">
      <c r="A308" s="363">
        <f t="shared" si="33"/>
        <v>147</v>
      </c>
      <c r="B308" s="314" t="s">
        <v>4233</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0.25"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0.25"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0.25" customHeight="1">
      <c r="A311" s="363">
        <f t="shared" si="33"/>
        <v>150</v>
      </c>
      <c r="B311" s="365" t="s">
        <v>241</v>
      </c>
      <c r="C311" s="405">
        <v>83.5</v>
      </c>
      <c r="D311" s="406" t="s">
        <v>1771</v>
      </c>
      <c r="F311" s="252">
        <v>4800</v>
      </c>
      <c r="G311" s="252" t="s">
        <v>1425</v>
      </c>
      <c r="H311" s="252" t="str">
        <f>H309</f>
        <v>Bricks of size 22x11x7 cm</v>
      </c>
      <c r="I311" s="252">
        <f>C80</f>
        <v>5728.64</v>
      </c>
      <c r="J311" s="296" t="s">
        <v>1594</v>
      </c>
      <c r="K311" s="252">
        <f>(F311*I311)/1000</f>
        <v>27497.47</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0.25" customHeight="1">
      <c r="A312" s="363">
        <f t="shared" si="33"/>
        <v>151</v>
      </c>
      <c r="B312" s="365" t="s">
        <v>242</v>
      </c>
      <c r="C312" s="405">
        <v>102.12</v>
      </c>
      <c r="D312" s="406" t="s">
        <v>1771</v>
      </c>
      <c r="F312" s="252">
        <v>2.5</v>
      </c>
      <c r="G312" s="252" t="s">
        <v>869</v>
      </c>
      <c r="H312" s="296" t="s">
        <v>1625</v>
      </c>
      <c r="I312" s="252">
        <f>K49</f>
        <v>3597.1</v>
      </c>
      <c r="J312" s="296" t="s">
        <v>869</v>
      </c>
      <c r="K312" s="252">
        <f>(F312*I312)</f>
        <v>8992.75</v>
      </c>
      <c r="R312" s="358" t="s">
        <v>1586</v>
      </c>
      <c r="S312" s="356">
        <v>2.5</v>
      </c>
      <c r="T312" s="252" t="s">
        <v>869</v>
      </c>
      <c r="U312" s="252" t="s">
        <v>1625</v>
      </c>
      <c r="V312" s="407">
        <f>K49</f>
        <v>3597.1</v>
      </c>
      <c r="W312" s="253" t="s">
        <v>869</v>
      </c>
      <c r="X312" s="252">
        <f>V312*S312</f>
        <v>8992.75</v>
      </c>
      <c r="AB312" s="252">
        <v>2</v>
      </c>
      <c r="AC312" s="252" t="s">
        <v>869</v>
      </c>
      <c r="AD312" s="296" t="s">
        <v>1625</v>
      </c>
      <c r="AE312" s="252">
        <f>K49</f>
        <v>3597.1</v>
      </c>
      <c r="AF312" s="296" t="s">
        <v>869</v>
      </c>
      <c r="AG312" s="252">
        <f>(AB312*AE312)</f>
        <v>7194.2</v>
      </c>
    </row>
    <row r="313" spans="1:33" ht="20.25"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2880.69</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0.25"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0.25"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288.07</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0.25"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0.25"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0.25" customHeight="1">
      <c r="A318" s="363">
        <f t="shared" si="33"/>
        <v>157</v>
      </c>
      <c r="B318" s="365" t="s">
        <v>2222</v>
      </c>
      <c r="C318" s="405">
        <v>99.75</v>
      </c>
      <c r="D318" s="406" t="s">
        <v>769</v>
      </c>
      <c r="K318" s="358" t="s">
        <v>1586</v>
      </c>
      <c r="O318" s="358" t="s">
        <v>1586</v>
      </c>
      <c r="W318" s="253"/>
      <c r="X318" s="252" t="s">
        <v>1586</v>
      </c>
      <c r="AF318" s="296"/>
      <c r="AG318" s="358" t="s">
        <v>1586</v>
      </c>
    </row>
    <row r="319" spans="1:33" ht="20.25" customHeight="1">
      <c r="A319" s="363">
        <f t="shared" si="33"/>
        <v>158</v>
      </c>
      <c r="B319" s="365" t="s">
        <v>2186</v>
      </c>
      <c r="C319" s="405"/>
      <c r="D319" s="283"/>
      <c r="H319" s="296" t="s">
        <v>614</v>
      </c>
      <c r="K319" s="252">
        <f>SUM(K311:K317)</f>
        <v>65813.820000000007</v>
      </c>
      <c r="M319" s="252">
        <v>0.1</v>
      </c>
      <c r="N319" s="296" t="s">
        <v>869</v>
      </c>
      <c r="O319" s="296" t="s">
        <v>119</v>
      </c>
      <c r="P319" s="252">
        <f>(K23)</f>
        <v>6206.38</v>
      </c>
      <c r="Q319" s="296" t="s">
        <v>869</v>
      </c>
      <c r="R319" s="252">
        <f>(M319*P319)</f>
        <v>620.64</v>
      </c>
      <c r="U319" s="252" t="s">
        <v>614</v>
      </c>
      <c r="W319" s="253"/>
      <c r="X319" s="252">
        <f>SUM(X311:X318)</f>
        <v>68648.350000000006</v>
      </c>
      <c r="AD319" s="296" t="s">
        <v>614</v>
      </c>
      <c r="AF319" s="296"/>
      <c r="AG319" s="252">
        <f>SUM(AG311:AG317)</f>
        <v>65323.6</v>
      </c>
    </row>
    <row r="320" spans="1:33" ht="20.25"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0.25" customHeight="1">
      <c r="A321" s="363">
        <f t="shared" si="33"/>
        <v>160</v>
      </c>
      <c r="B321" s="365" t="s">
        <v>241</v>
      </c>
      <c r="C321" s="405">
        <v>50.34</v>
      </c>
      <c r="D321" s="406" t="s">
        <v>769</v>
      </c>
      <c r="H321" s="255" t="s">
        <v>773</v>
      </c>
      <c r="K321" s="274">
        <f>(K319/10)</f>
        <v>6581.38</v>
      </c>
      <c r="M321" s="252">
        <v>1.1000000000000001</v>
      </c>
      <c r="N321" s="296" t="s">
        <v>868</v>
      </c>
      <c r="O321" s="296" t="s">
        <v>1902</v>
      </c>
      <c r="P321" s="252">
        <f>(C12)</f>
        <v>651</v>
      </c>
      <c r="Q321" s="296" t="s">
        <v>868</v>
      </c>
      <c r="R321" s="252">
        <f>(M321*P321)</f>
        <v>716.1</v>
      </c>
      <c r="U321" s="252" t="s">
        <v>773</v>
      </c>
      <c r="W321" s="253"/>
      <c r="X321" s="274">
        <f>X319/10</f>
        <v>6864.84</v>
      </c>
      <c r="AD321" s="255" t="s">
        <v>773</v>
      </c>
      <c r="AF321" s="296"/>
      <c r="AG321" s="274">
        <f>(AG319/10)</f>
        <v>6532.36</v>
      </c>
    </row>
    <row r="322" spans="1:34" ht="20.25"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0.25" customHeight="1">
      <c r="A323" s="363">
        <f t="shared" si="33"/>
        <v>162</v>
      </c>
      <c r="B323" s="365" t="s">
        <v>2222</v>
      </c>
      <c r="C323" s="405">
        <v>145.29</v>
      </c>
      <c r="D323" s="406" t="s">
        <v>769</v>
      </c>
      <c r="H323" s="296" t="s">
        <v>386</v>
      </c>
      <c r="K323" s="252">
        <f>(K321+C19)</f>
        <v>6660.28</v>
      </c>
      <c r="L323" s="252">
        <f>K323-K321</f>
        <v>78.900000000000006</v>
      </c>
      <c r="N323" s="296" t="s">
        <v>449</v>
      </c>
      <c r="O323" s="296" t="s">
        <v>450</v>
      </c>
      <c r="P323" s="296" t="s">
        <v>975</v>
      </c>
      <c r="Q323" s="296" t="s">
        <v>449</v>
      </c>
      <c r="R323" s="252">
        <v>0</v>
      </c>
      <c r="U323" s="252" t="s">
        <v>386</v>
      </c>
      <c r="W323" s="253"/>
      <c r="X323" s="252">
        <f>X321+C19</f>
        <v>6943.74</v>
      </c>
      <c r="Y323" s="252">
        <f>X323-X321</f>
        <v>78.900000000000006</v>
      </c>
      <c r="AD323" s="296" t="s">
        <v>386</v>
      </c>
      <c r="AF323" s="296"/>
      <c r="AG323" s="252">
        <f>AG321+C19</f>
        <v>6611.26</v>
      </c>
      <c r="AH323" s="252">
        <f>AG323-AG321</f>
        <v>78.900000000000006</v>
      </c>
    </row>
    <row r="324" spans="1:34" ht="20.25" customHeight="1">
      <c r="A324" s="363">
        <f t="shared" si="33"/>
        <v>163</v>
      </c>
      <c r="B324" s="365" t="s">
        <v>2187</v>
      </c>
      <c r="C324" s="405"/>
      <c r="D324" s="283"/>
      <c r="H324" s="296" t="s">
        <v>388</v>
      </c>
      <c r="K324" s="252">
        <f>(K323+C20)</f>
        <v>6819.48</v>
      </c>
      <c r="L324" s="252">
        <f>K324-K323</f>
        <v>159.19999999999999</v>
      </c>
      <c r="R324" s="358" t="s">
        <v>1586</v>
      </c>
      <c r="U324" s="252" t="s">
        <v>388</v>
      </c>
      <c r="W324" s="253"/>
      <c r="X324" s="252">
        <f>X323+C20</f>
        <v>7102.94</v>
      </c>
      <c r="Y324" s="252">
        <f>X324-X323</f>
        <v>159.19999999999999</v>
      </c>
      <c r="AD324" s="296" t="s">
        <v>388</v>
      </c>
      <c r="AF324" s="296"/>
      <c r="AG324" s="252">
        <f>AG323+C20</f>
        <v>6770.46</v>
      </c>
      <c r="AH324" s="252">
        <f>AG324-AG323</f>
        <v>159.19999999999999</v>
      </c>
    </row>
    <row r="325" spans="1:34" ht="20.25" customHeight="1">
      <c r="A325" s="363">
        <f t="shared" si="33"/>
        <v>164</v>
      </c>
      <c r="B325" s="365" t="s">
        <v>240</v>
      </c>
      <c r="C325" s="405">
        <v>14.91</v>
      </c>
      <c r="D325" s="406" t="s">
        <v>1771</v>
      </c>
      <c r="H325" s="296" t="s">
        <v>2232</v>
      </c>
      <c r="K325" s="252">
        <f>(K324+C21)</f>
        <v>6978.68</v>
      </c>
      <c r="M325" s="252">
        <f>(K325+K324)/2</f>
        <v>6899.08</v>
      </c>
      <c r="O325" s="296" t="s">
        <v>441</v>
      </c>
      <c r="R325" s="252">
        <f>SUM(R319:R323)</f>
        <v>3023.04</v>
      </c>
      <c r="U325" s="252" t="s">
        <v>2232</v>
      </c>
      <c r="W325" s="253"/>
      <c r="X325" s="252">
        <f>X324+C20</f>
        <v>7262.14</v>
      </c>
      <c r="AD325" s="296" t="s">
        <v>2232</v>
      </c>
      <c r="AF325" s="296"/>
      <c r="AG325" s="252">
        <f>AG324+C20</f>
        <v>6929.66</v>
      </c>
      <c r="AH325" s="252">
        <f>AG324-AG323</f>
        <v>159.19999999999999</v>
      </c>
    </row>
    <row r="326" spans="1:34" ht="20.25" customHeight="1">
      <c r="A326" s="363">
        <f t="shared" si="33"/>
        <v>165</v>
      </c>
      <c r="B326" s="365" t="s">
        <v>241</v>
      </c>
      <c r="C326" s="405">
        <v>19.41</v>
      </c>
      <c r="D326" s="406" t="s">
        <v>1771</v>
      </c>
      <c r="H326" s="296" t="s">
        <v>380</v>
      </c>
      <c r="K326" s="252">
        <f>(K325+C21)</f>
        <v>7137.88</v>
      </c>
      <c r="R326" s="358" t="s">
        <v>1586</v>
      </c>
      <c r="U326" s="252" t="s">
        <v>380</v>
      </c>
      <c r="W326" s="253"/>
      <c r="X326" s="252">
        <f>X325+C20</f>
        <v>7421.34</v>
      </c>
      <c r="AD326" s="296" t="s">
        <v>380</v>
      </c>
      <c r="AF326" s="296"/>
      <c r="AG326" s="252">
        <f>AG325+C20</f>
        <v>7088.86</v>
      </c>
    </row>
    <row r="327" spans="1:34" ht="20.25" customHeight="1">
      <c r="A327" s="363">
        <f t="shared" si="33"/>
        <v>166</v>
      </c>
      <c r="B327" s="365" t="s">
        <v>242</v>
      </c>
      <c r="C327" s="405">
        <v>22.22</v>
      </c>
      <c r="D327" s="406" t="s">
        <v>1771</v>
      </c>
      <c r="H327" s="296" t="s">
        <v>488</v>
      </c>
      <c r="K327" s="252">
        <f>(K326+C21)</f>
        <v>7297.08</v>
      </c>
      <c r="O327" s="296" t="s">
        <v>552</v>
      </c>
      <c r="R327" s="252">
        <f>(R325/10)</f>
        <v>302.3</v>
      </c>
      <c r="U327" s="252" t="s">
        <v>488</v>
      </c>
      <c r="W327" s="253"/>
      <c r="X327" s="252">
        <f>X326+C20</f>
        <v>7580.54</v>
      </c>
      <c r="AD327" s="296" t="s">
        <v>488</v>
      </c>
      <c r="AF327" s="296"/>
      <c r="AG327" s="252">
        <f>AG326+C20</f>
        <v>7248.06</v>
      </c>
    </row>
    <row r="328" spans="1:34" ht="20.25" customHeight="1">
      <c r="A328" s="363"/>
      <c r="B328" s="365"/>
      <c r="C328" s="405"/>
      <c r="D328" s="406"/>
      <c r="H328" s="296"/>
      <c r="O328" s="296"/>
      <c r="W328" s="253"/>
      <c r="AE328" s="370"/>
      <c r="AG328" s="296"/>
    </row>
    <row r="329" spans="1:34" ht="20.25" customHeight="1">
      <c r="A329" s="363"/>
      <c r="B329" s="365"/>
      <c r="C329" s="405"/>
      <c r="D329" s="406"/>
      <c r="F329" s="253" t="s">
        <v>639</v>
      </c>
      <c r="H329" s="296" t="s">
        <v>6085</v>
      </c>
      <c r="K329" s="408">
        <v>719</v>
      </c>
      <c r="L329" s="252" t="s">
        <v>1109</v>
      </c>
      <c r="O329" s="296"/>
      <c r="W329" s="253"/>
      <c r="AE329" s="370"/>
      <c r="AG329" s="296"/>
    </row>
    <row r="330" spans="1:34" ht="20.25" customHeight="1">
      <c r="A330" s="363"/>
      <c r="B330" s="365"/>
      <c r="C330" s="405"/>
      <c r="D330" s="406"/>
      <c r="H330" s="296" t="s">
        <v>5282</v>
      </c>
      <c r="K330" s="358" t="s">
        <v>2055</v>
      </c>
      <c r="O330" s="296"/>
      <c r="W330" s="253"/>
      <c r="AE330" s="370"/>
      <c r="AG330" s="296"/>
    </row>
    <row r="331" spans="1:34" ht="20.25" customHeight="1">
      <c r="A331" s="363"/>
      <c r="B331" s="365"/>
      <c r="C331" s="405"/>
      <c r="D331" s="406"/>
      <c r="H331" s="296"/>
      <c r="O331" s="296"/>
      <c r="W331" s="253"/>
      <c r="AE331" s="370"/>
      <c r="AG331" s="296"/>
    </row>
    <row r="332" spans="1:34" ht="20.25"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0.25"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0.25"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0.25" customHeight="1">
      <c r="A335" s="363">
        <f t="shared" si="33"/>
        <v>170</v>
      </c>
      <c r="B335" s="365" t="s">
        <v>241</v>
      </c>
      <c r="C335" s="405">
        <v>12.26</v>
      </c>
      <c r="D335" s="406" t="s">
        <v>769</v>
      </c>
      <c r="F335" s="252">
        <f>F311</f>
        <v>4800</v>
      </c>
      <c r="G335" s="252" t="s">
        <v>1425</v>
      </c>
      <c r="H335" s="252" t="str">
        <f>H309</f>
        <v>Bricks of size 22x11x7 cm</v>
      </c>
      <c r="I335" s="252">
        <f>C80</f>
        <v>5728.64</v>
      </c>
      <c r="J335" s="296" t="s">
        <v>1594</v>
      </c>
      <c r="K335" s="252">
        <f>(F335*I335)/1000</f>
        <v>27497.47</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0.25" customHeight="1">
      <c r="A336" s="363">
        <f t="shared" si="33"/>
        <v>171</v>
      </c>
      <c r="B336" s="365" t="s">
        <v>242</v>
      </c>
      <c r="C336" s="405">
        <v>13.89</v>
      </c>
      <c r="D336" s="406" t="s">
        <v>769</v>
      </c>
      <c r="F336" s="252">
        <f>F312</f>
        <v>2.5</v>
      </c>
      <c r="G336" s="252" t="s">
        <v>869</v>
      </c>
      <c r="H336" s="296" t="s">
        <v>1631</v>
      </c>
      <c r="I336" s="252">
        <f>K58</f>
        <v>3307.18</v>
      </c>
      <c r="J336" s="296" t="s">
        <v>869</v>
      </c>
      <c r="K336" s="252">
        <f>(F336*I336)</f>
        <v>8267.9500000000007</v>
      </c>
      <c r="M336" s="252">
        <v>0.22</v>
      </c>
      <c r="N336" s="296" t="s">
        <v>869</v>
      </c>
      <c r="O336" s="296" t="s">
        <v>1625</v>
      </c>
      <c r="P336" s="252">
        <f>(K49)</f>
        <v>3597.1</v>
      </c>
      <c r="Q336" s="296" t="s">
        <v>869</v>
      </c>
      <c r="R336" s="252">
        <f>(M336*P336)</f>
        <v>791.36</v>
      </c>
      <c r="S336" s="356">
        <v>2.5</v>
      </c>
      <c r="T336" s="252" t="s">
        <v>869</v>
      </c>
      <c r="U336" s="252" t="s">
        <v>1631</v>
      </c>
      <c r="V336" s="252">
        <f>I336</f>
        <v>3307.18</v>
      </c>
      <c r="W336" s="253" t="s">
        <v>869</v>
      </c>
      <c r="X336" s="252">
        <f t="shared" ref="X336:X341" si="35">V336*S336</f>
        <v>8267.9500000000007</v>
      </c>
      <c r="AB336" s="252">
        <f>AB312</f>
        <v>2</v>
      </c>
      <c r="AC336" s="252" t="s">
        <v>869</v>
      </c>
      <c r="AD336" s="296" t="s">
        <v>1631</v>
      </c>
      <c r="AE336" s="252">
        <f>V336</f>
        <v>3307.18</v>
      </c>
      <c r="AF336" s="296" t="s">
        <v>869</v>
      </c>
      <c r="AG336" s="252">
        <f>AE336*AB336</f>
        <v>6614.36</v>
      </c>
    </row>
    <row r="337" spans="1:33" ht="20.25"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0.25"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0.25"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0.25"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0.25"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0.25" customHeight="1">
      <c r="A342" s="363">
        <f t="shared" si="33"/>
        <v>177</v>
      </c>
      <c r="B342" s="365" t="s">
        <v>2222</v>
      </c>
      <c r="C342" s="405">
        <v>52.34</v>
      </c>
      <c r="D342" s="406" t="s">
        <v>769</v>
      </c>
      <c r="K342" s="358" t="s">
        <v>1586</v>
      </c>
      <c r="O342" s="296" t="s">
        <v>441</v>
      </c>
      <c r="R342" s="252">
        <f>SUM(R336:R340)</f>
        <v>5023.46</v>
      </c>
      <c r="W342" s="253"/>
      <c r="X342" s="358" t="s">
        <v>1586</v>
      </c>
      <c r="AF342" s="296"/>
      <c r="AG342" s="358" t="s">
        <v>1586</v>
      </c>
    </row>
    <row r="343" spans="1:33" ht="20.25" customHeight="1">
      <c r="A343" s="363">
        <f t="shared" si="33"/>
        <v>178</v>
      </c>
      <c r="B343" s="365" t="s">
        <v>1039</v>
      </c>
      <c r="C343" s="405"/>
      <c r="D343" s="283"/>
      <c r="H343" s="296" t="s">
        <v>614</v>
      </c>
      <c r="K343" s="252">
        <f>SUM(K335:K341)</f>
        <v>65084.02</v>
      </c>
      <c r="R343" s="358" t="s">
        <v>1586</v>
      </c>
      <c r="U343" s="252" t="s">
        <v>614</v>
      </c>
      <c r="W343" s="253"/>
      <c r="X343" s="252">
        <f>SUM(X335:X342)</f>
        <v>67923.55</v>
      </c>
      <c r="AD343" s="296" t="s">
        <v>614</v>
      </c>
      <c r="AF343" s="296"/>
      <c r="AG343" s="252">
        <f>SUM(AG335:AG341)</f>
        <v>64743.76</v>
      </c>
    </row>
    <row r="344" spans="1:33" ht="20.25" customHeight="1">
      <c r="A344" s="363">
        <f t="shared" si="33"/>
        <v>179</v>
      </c>
      <c r="B344" s="365" t="s">
        <v>240</v>
      </c>
      <c r="C344" s="405">
        <v>13.73</v>
      </c>
      <c r="D344" s="406" t="s">
        <v>769</v>
      </c>
      <c r="K344" s="358" t="s">
        <v>1586</v>
      </c>
      <c r="O344" s="296" t="s">
        <v>552</v>
      </c>
      <c r="R344" s="252">
        <f>(R342/10)</f>
        <v>502.35</v>
      </c>
      <c r="W344" s="253"/>
      <c r="X344" s="358" t="s">
        <v>1586</v>
      </c>
      <c r="AF344" s="296"/>
      <c r="AG344" s="358" t="s">
        <v>1586</v>
      </c>
    </row>
    <row r="345" spans="1:33" ht="20.25" customHeight="1">
      <c r="A345" s="363">
        <f t="shared" si="33"/>
        <v>180</v>
      </c>
      <c r="B345" s="365" t="s">
        <v>241</v>
      </c>
      <c r="C345" s="405">
        <v>20.16</v>
      </c>
      <c r="D345" s="406" t="s">
        <v>769</v>
      </c>
      <c r="H345" s="253" t="s">
        <v>773</v>
      </c>
      <c r="K345" s="252">
        <f>(K343/10)</f>
        <v>6508.4</v>
      </c>
      <c r="R345" s="358" t="s">
        <v>2055</v>
      </c>
      <c r="U345" s="252" t="s">
        <v>773</v>
      </c>
      <c r="W345" s="253"/>
      <c r="X345" s="252">
        <f>X343/10</f>
        <v>6792.36</v>
      </c>
      <c r="AD345" s="253" t="s">
        <v>773</v>
      </c>
      <c r="AF345" s="296"/>
      <c r="AG345" s="252">
        <f>(AG343/10)</f>
        <v>6474.38</v>
      </c>
    </row>
    <row r="346" spans="1:33" ht="20.25" customHeight="1">
      <c r="A346" s="363">
        <f t="shared" si="33"/>
        <v>181</v>
      </c>
      <c r="B346" s="365" t="s">
        <v>242</v>
      </c>
      <c r="C346" s="405">
        <v>22.73</v>
      </c>
      <c r="D346" s="406" t="s">
        <v>769</v>
      </c>
      <c r="K346" s="358" t="s">
        <v>2055</v>
      </c>
      <c r="W346" s="253"/>
      <c r="X346" s="377" t="s">
        <v>1224</v>
      </c>
      <c r="AF346" s="296"/>
      <c r="AG346" s="358" t="s">
        <v>2055</v>
      </c>
    </row>
    <row r="347" spans="1:33" ht="20.25" customHeight="1">
      <c r="A347" s="363">
        <f t="shared" ref="A347:A410" si="36">(A346+1)</f>
        <v>182</v>
      </c>
      <c r="B347" s="365" t="s">
        <v>2222</v>
      </c>
      <c r="C347" s="405">
        <v>46.98</v>
      </c>
      <c r="D347" s="406" t="s">
        <v>975</v>
      </c>
      <c r="H347" s="296" t="s">
        <v>386</v>
      </c>
      <c r="K347" s="274">
        <f>(K345+C19)</f>
        <v>6587.3</v>
      </c>
      <c r="L347" s="252">
        <f>K347-K345</f>
        <v>78.900000000000006</v>
      </c>
      <c r="U347" s="274" t="s">
        <v>386</v>
      </c>
      <c r="W347" s="253"/>
      <c r="X347" s="274">
        <f>X345+C19</f>
        <v>6871.26</v>
      </c>
      <c r="AD347" s="296" t="s">
        <v>386</v>
      </c>
      <c r="AF347" s="296"/>
      <c r="AG347" s="274">
        <f>(AG345+C19)</f>
        <v>6553.28</v>
      </c>
    </row>
    <row r="348" spans="1:33" ht="20.25" customHeight="1">
      <c r="A348" s="363">
        <f t="shared" si="36"/>
        <v>183</v>
      </c>
      <c r="B348" s="365" t="s">
        <v>1041</v>
      </c>
      <c r="C348" s="405"/>
      <c r="D348" s="283"/>
      <c r="H348" s="296" t="s">
        <v>388</v>
      </c>
      <c r="K348" s="274">
        <f>(K347+C20)</f>
        <v>6746.5</v>
      </c>
      <c r="L348" s="252">
        <f>K348-K347</f>
        <v>159.19999999999999</v>
      </c>
      <c r="U348" s="274" t="s">
        <v>388</v>
      </c>
      <c r="W348" s="253"/>
      <c r="X348" s="274">
        <f>X347+C20</f>
        <v>7030.46</v>
      </c>
      <c r="AD348" s="296" t="s">
        <v>388</v>
      </c>
      <c r="AF348" s="296"/>
      <c r="AG348" s="274">
        <f>(AG347+C20)</f>
        <v>6712.48</v>
      </c>
    </row>
    <row r="349" spans="1:33" ht="20.25" customHeight="1">
      <c r="A349" s="363">
        <f t="shared" si="36"/>
        <v>184</v>
      </c>
      <c r="B349" s="365" t="s">
        <v>240</v>
      </c>
      <c r="C349" s="405">
        <v>19.3</v>
      </c>
      <c r="D349" s="406" t="s">
        <v>769</v>
      </c>
      <c r="H349" s="296" t="s">
        <v>2232</v>
      </c>
      <c r="K349" s="274">
        <f>(K348+C20)</f>
        <v>6905.7</v>
      </c>
      <c r="L349" s="252">
        <f>K349-K348</f>
        <v>159.19999999999999</v>
      </c>
      <c r="U349" s="274" t="s">
        <v>2232</v>
      </c>
      <c r="W349" s="253"/>
      <c r="X349" s="274">
        <f>X348+C20</f>
        <v>7189.66</v>
      </c>
      <c r="AD349" s="296" t="s">
        <v>2232</v>
      </c>
      <c r="AF349" s="296"/>
      <c r="AG349" s="274">
        <f>(AG348+C20)</f>
        <v>6871.68</v>
      </c>
    </row>
    <row r="350" spans="1:33" ht="20.25" customHeight="1">
      <c r="A350" s="363">
        <f t="shared" si="36"/>
        <v>185</v>
      </c>
      <c r="B350" s="365" t="s">
        <v>242</v>
      </c>
      <c r="C350" s="405">
        <v>33.46</v>
      </c>
      <c r="D350" s="406" t="s">
        <v>769</v>
      </c>
      <c r="H350" s="296" t="s">
        <v>380</v>
      </c>
      <c r="K350" s="274">
        <f>(K349+C21)</f>
        <v>7064.9</v>
      </c>
      <c r="U350" s="274" t="s">
        <v>380</v>
      </c>
      <c r="W350" s="253"/>
      <c r="X350" s="274">
        <f>X349+C20</f>
        <v>7348.86</v>
      </c>
      <c r="AD350" s="296" t="s">
        <v>380</v>
      </c>
      <c r="AF350" s="296"/>
      <c r="AG350" s="274">
        <f>(AG349+C20)</f>
        <v>7030.88</v>
      </c>
    </row>
    <row r="351" spans="1:33" ht="20.25" customHeight="1">
      <c r="A351" s="363">
        <f t="shared" si="36"/>
        <v>186</v>
      </c>
      <c r="B351" s="365" t="s">
        <v>2222</v>
      </c>
      <c r="C351" s="405">
        <v>53.62</v>
      </c>
      <c r="D351" s="406" t="s">
        <v>769</v>
      </c>
      <c r="F351" s="296" t="s">
        <v>975</v>
      </c>
      <c r="H351" s="296" t="s">
        <v>488</v>
      </c>
      <c r="K351" s="274">
        <f>(K350+C21)</f>
        <v>7224.1</v>
      </c>
      <c r="L351" s="252">
        <f>K351-K350</f>
        <v>159.19999999999999</v>
      </c>
      <c r="S351" s="356" t="s">
        <v>975</v>
      </c>
      <c r="U351" s="274" t="s">
        <v>488</v>
      </c>
      <c r="W351" s="253"/>
      <c r="X351" s="274">
        <f>X350+C20</f>
        <v>7508.06</v>
      </c>
      <c r="AB351" s="296" t="s">
        <v>975</v>
      </c>
      <c r="AD351" s="296" t="s">
        <v>488</v>
      </c>
      <c r="AF351" s="296"/>
      <c r="AG351" s="274">
        <f>(AG350+C20)</f>
        <v>7190.08</v>
      </c>
    </row>
    <row r="352" spans="1:33" ht="20.25" customHeight="1">
      <c r="A352" s="363">
        <f t="shared" si="36"/>
        <v>187</v>
      </c>
      <c r="B352" s="365" t="s">
        <v>127</v>
      </c>
      <c r="C352" s="405"/>
      <c r="D352" s="283"/>
      <c r="F352" s="369">
        <v>27</v>
      </c>
      <c r="G352" s="252" t="s">
        <v>2251</v>
      </c>
      <c r="H352" s="296" t="s">
        <v>2814</v>
      </c>
      <c r="L352" s="252">
        <f>K351+L351</f>
        <v>7383.3</v>
      </c>
      <c r="S352" s="356">
        <v>27</v>
      </c>
      <c r="T352" s="252" t="s">
        <v>2251</v>
      </c>
      <c r="U352" s="252" t="s">
        <v>105</v>
      </c>
      <c r="W352" s="253"/>
      <c r="AB352" s="296"/>
      <c r="AD352" s="296">
        <v>5</v>
      </c>
      <c r="AF352" s="296"/>
      <c r="AG352" s="274">
        <f>(AG351+C20)</f>
        <v>7349.28</v>
      </c>
    </row>
    <row r="353" spans="1:34" ht="20.25" customHeight="1">
      <c r="A353" s="363">
        <f t="shared" si="36"/>
        <v>188</v>
      </c>
      <c r="B353" s="365" t="s">
        <v>240</v>
      </c>
      <c r="C353" s="405">
        <v>13.73</v>
      </c>
      <c r="D353" s="406" t="s">
        <v>769</v>
      </c>
      <c r="H353" s="296" t="str">
        <f>H333</f>
        <v>Bricks of size 22x11x7 cm</v>
      </c>
      <c r="L353" s="252">
        <f>L352+L351</f>
        <v>7542.5</v>
      </c>
      <c r="U353" s="252" t="s">
        <v>427</v>
      </c>
      <c r="W353" s="253"/>
      <c r="AB353" s="296"/>
      <c r="AD353" s="296">
        <v>6</v>
      </c>
      <c r="AF353" s="296"/>
      <c r="AG353" s="274">
        <f>(AG352+C20)</f>
        <v>7508.48</v>
      </c>
    </row>
    <row r="354" spans="1:34" ht="20.25" customHeight="1">
      <c r="A354" s="363">
        <f t="shared" si="36"/>
        <v>189</v>
      </c>
      <c r="B354" s="365" t="s">
        <v>241</v>
      </c>
      <c r="C354" s="405">
        <v>20.16</v>
      </c>
      <c r="D354" s="406" t="s">
        <v>769</v>
      </c>
      <c r="H354" s="358" t="s">
        <v>1586</v>
      </c>
      <c r="U354" s="252" t="s">
        <v>1586</v>
      </c>
      <c r="W354" s="253"/>
      <c r="AB354" s="296"/>
      <c r="AD354" s="296">
        <v>7</v>
      </c>
      <c r="AF354" s="296"/>
      <c r="AG354" s="274">
        <f>(AG353+C20)</f>
        <v>7667.68</v>
      </c>
    </row>
    <row r="355" spans="1:34" ht="20.25" customHeight="1">
      <c r="A355" s="363">
        <f t="shared" si="36"/>
        <v>190</v>
      </c>
      <c r="B355" s="365" t="s">
        <v>242</v>
      </c>
      <c r="C355" s="405">
        <v>22.73</v>
      </c>
      <c r="D355" s="406" t="s">
        <v>769</v>
      </c>
      <c r="F355" s="252">
        <v>4800</v>
      </c>
      <c r="G355" s="252" t="s">
        <v>1425</v>
      </c>
      <c r="H355" s="252" t="str">
        <f>H309</f>
        <v>Bricks of size 22x11x7 cm</v>
      </c>
      <c r="I355" s="252">
        <f>C80</f>
        <v>5728.64</v>
      </c>
      <c r="J355" s="296" t="s">
        <v>1594</v>
      </c>
      <c r="K355" s="252">
        <f>(F355*I355)/1000</f>
        <v>27497.47</v>
      </c>
      <c r="S355" s="356">
        <v>4600</v>
      </c>
      <c r="T355" s="252" t="s">
        <v>1425</v>
      </c>
      <c r="U355" s="252" t="s">
        <v>427</v>
      </c>
      <c r="V355" s="252">
        <f>AC41</f>
        <v>6595</v>
      </c>
      <c r="W355" s="253" t="s">
        <v>1594</v>
      </c>
      <c r="X355" s="252">
        <f>V355*S355/1000</f>
        <v>30337</v>
      </c>
      <c r="AB355" s="296"/>
      <c r="AD355" s="296">
        <v>8</v>
      </c>
      <c r="AF355" s="296"/>
      <c r="AG355" s="274">
        <f>(AG354+C20)</f>
        <v>7826.88</v>
      </c>
    </row>
    <row r="356" spans="1:34" ht="20.25" customHeight="1">
      <c r="A356" s="363">
        <f t="shared" si="36"/>
        <v>191</v>
      </c>
      <c r="B356" s="365" t="s">
        <v>2222</v>
      </c>
      <c r="C356" s="405">
        <v>46.98</v>
      </c>
      <c r="D356" s="406" t="s">
        <v>769</v>
      </c>
      <c r="F356" s="252">
        <v>2.5</v>
      </c>
      <c r="G356" s="252" t="s">
        <v>869</v>
      </c>
      <c r="H356" s="296" t="s">
        <v>1307</v>
      </c>
      <c r="I356" s="252">
        <f>K40</f>
        <v>4031.98</v>
      </c>
      <c r="J356" s="296" t="s">
        <v>869</v>
      </c>
      <c r="K356" s="252">
        <f>(F356*I356)</f>
        <v>10079.950000000001</v>
      </c>
      <c r="S356" s="356">
        <v>2.5</v>
      </c>
      <c r="T356" s="252" t="s">
        <v>869</v>
      </c>
      <c r="U356" s="252" t="s">
        <v>1307</v>
      </c>
      <c r="V356" s="252">
        <f>I356</f>
        <v>4031.98</v>
      </c>
      <c r="W356" s="253" t="s">
        <v>869</v>
      </c>
      <c r="X356" s="252">
        <f>V356*S356</f>
        <v>10079.950000000001</v>
      </c>
      <c r="AB356" s="296"/>
      <c r="AD356" s="296">
        <v>9</v>
      </c>
      <c r="AF356" s="296"/>
      <c r="AG356" s="274">
        <f>(AG355+C20)</f>
        <v>7986.08</v>
      </c>
    </row>
    <row r="357" spans="1:34" ht="20.25" customHeight="1">
      <c r="A357" s="363">
        <f t="shared" si="36"/>
        <v>192</v>
      </c>
      <c r="B357" s="365" t="s">
        <v>810</v>
      </c>
      <c r="C357" s="405"/>
      <c r="D357" s="283"/>
      <c r="F357" s="252">
        <v>3.5</v>
      </c>
      <c r="G357" s="252" t="s">
        <v>868</v>
      </c>
      <c r="H357" s="296" t="s">
        <v>2009</v>
      </c>
      <c r="I357" s="252">
        <f>(C10)</f>
        <v>999</v>
      </c>
      <c r="J357" s="296" t="s">
        <v>868</v>
      </c>
      <c r="K357" s="252">
        <f>(F357*I357)</f>
        <v>3496.5</v>
      </c>
      <c r="S357" s="356">
        <v>3.5</v>
      </c>
      <c r="T357" s="252" t="s">
        <v>868</v>
      </c>
      <c r="U357" s="252" t="s">
        <v>2009</v>
      </c>
      <c r="V357" s="252">
        <f>I357</f>
        <v>999</v>
      </c>
      <c r="W357" s="253" t="s">
        <v>868</v>
      </c>
      <c r="X357" s="252">
        <f>V357*S357</f>
        <v>3496.5</v>
      </c>
      <c r="AB357" s="296"/>
      <c r="AD357" s="296">
        <v>10</v>
      </c>
      <c r="AF357" s="296"/>
      <c r="AG357" s="274">
        <f>(AG356+C20)</f>
        <v>8145.28</v>
      </c>
    </row>
    <row r="358" spans="1:34" ht="20.25"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8304.48</v>
      </c>
    </row>
    <row r="359" spans="1:34" ht="20.25"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8463.68</v>
      </c>
    </row>
    <row r="360" spans="1:34" ht="20.25"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8622.8799999999992</v>
      </c>
    </row>
    <row r="361" spans="1:34" ht="20.25"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0.25" customHeight="1">
      <c r="A362" s="363">
        <f t="shared" si="36"/>
        <v>197</v>
      </c>
      <c r="B362" s="365" t="s">
        <v>969</v>
      </c>
      <c r="C362" s="405"/>
      <c r="D362" s="283"/>
      <c r="K362" s="358" t="s">
        <v>1586</v>
      </c>
      <c r="M362" s="252">
        <v>0.22</v>
      </c>
      <c r="N362" s="296" t="s">
        <v>869</v>
      </c>
      <c r="O362" s="296" t="s">
        <v>1307</v>
      </c>
      <c r="P362" s="252">
        <f>(K40)</f>
        <v>4031.98</v>
      </c>
      <c r="Q362" s="296" t="s">
        <v>869</v>
      </c>
      <c r="R362" s="252">
        <f t="shared" ref="R362:R367" si="37">(M362*P362)</f>
        <v>887.04</v>
      </c>
      <c r="W362" s="253"/>
      <c r="X362" s="358" t="s">
        <v>1586</v>
      </c>
      <c r="AD362" s="296" t="str">
        <f>AD333</f>
        <v>Bricks of size 23x11.4x7.5 cm</v>
      </c>
      <c r="AF362" s="296"/>
    </row>
    <row r="363" spans="1:34" ht="20.25" customHeight="1">
      <c r="A363" s="363">
        <f t="shared" si="36"/>
        <v>198</v>
      </c>
      <c r="B363" s="365" t="s">
        <v>240</v>
      </c>
      <c r="C363" s="405">
        <v>26.16</v>
      </c>
      <c r="D363" s="406" t="s">
        <v>769</v>
      </c>
      <c r="H363" s="296" t="s">
        <v>614</v>
      </c>
      <c r="K363" s="252">
        <f>SUM(K355:K361)</f>
        <v>66896.02</v>
      </c>
      <c r="M363" s="252">
        <v>2.2000000000000002</v>
      </c>
      <c r="N363" s="296" t="s">
        <v>868</v>
      </c>
      <c r="O363" s="296" t="s">
        <v>2009</v>
      </c>
      <c r="P363" s="252">
        <f>(C10)</f>
        <v>999</v>
      </c>
      <c r="Q363" s="296" t="s">
        <v>868</v>
      </c>
      <c r="R363" s="252">
        <f t="shared" si="37"/>
        <v>2197.8000000000002</v>
      </c>
      <c r="U363" s="252" t="s">
        <v>614</v>
      </c>
      <c r="W363" s="253"/>
      <c r="X363" s="252">
        <f>SUM(X355:X361)</f>
        <v>69735.55</v>
      </c>
      <c r="AD363" s="358" t="s">
        <v>1586</v>
      </c>
      <c r="AF363" s="296"/>
    </row>
    <row r="364" spans="1:34" ht="20.25"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0.25" customHeight="1">
      <c r="A365" s="363">
        <f t="shared" si="36"/>
        <v>200</v>
      </c>
      <c r="B365" s="365" t="s">
        <v>242</v>
      </c>
      <c r="C365" s="405">
        <v>40.33</v>
      </c>
      <c r="D365" s="406" t="s">
        <v>769</v>
      </c>
      <c r="H365" s="296" t="s">
        <v>773</v>
      </c>
      <c r="K365" s="252">
        <f>(K363/10)</f>
        <v>6689.6</v>
      </c>
      <c r="M365" s="252">
        <v>1.1000000000000001</v>
      </c>
      <c r="N365" s="296" t="s">
        <v>970</v>
      </c>
      <c r="O365" s="296" t="s">
        <v>971</v>
      </c>
      <c r="P365" s="252">
        <f>(C10)</f>
        <v>999</v>
      </c>
      <c r="Q365" s="296" t="s">
        <v>868</v>
      </c>
      <c r="R365" s="252">
        <f t="shared" si="37"/>
        <v>1098.9000000000001</v>
      </c>
      <c r="U365" s="252" t="s">
        <v>773</v>
      </c>
      <c r="W365" s="253"/>
      <c r="X365" s="252">
        <f>X363/10</f>
        <v>6973.56</v>
      </c>
      <c r="AB365" s="252">
        <v>2</v>
      </c>
      <c r="AC365" s="252" t="s">
        <v>869</v>
      </c>
      <c r="AD365" s="296" t="s">
        <v>1307</v>
      </c>
      <c r="AE365" s="252">
        <f>V356</f>
        <v>4031.98</v>
      </c>
      <c r="AF365" s="296" t="s">
        <v>869</v>
      </c>
      <c r="AG365" s="252">
        <f>(AB365*AE365)</f>
        <v>8063.96</v>
      </c>
    </row>
    <row r="366" spans="1:34" ht="20.25"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0.25" customHeight="1">
      <c r="A367" s="363">
        <f t="shared" si="36"/>
        <v>202</v>
      </c>
      <c r="B367" s="365" t="s">
        <v>240</v>
      </c>
      <c r="C367" s="405">
        <v>20.329999999999998</v>
      </c>
      <c r="D367" s="406" t="s">
        <v>769</v>
      </c>
      <c r="H367" s="296" t="s">
        <v>386</v>
      </c>
      <c r="J367" s="296">
        <f>K367-K365</f>
        <v>78.900000000000006</v>
      </c>
      <c r="K367" s="252">
        <f>(K365+C19)</f>
        <v>6768.5</v>
      </c>
      <c r="M367" s="252">
        <v>9.8000000000000007</v>
      </c>
      <c r="N367" s="296" t="s">
        <v>1645</v>
      </c>
      <c r="O367" s="296" t="s">
        <v>1646</v>
      </c>
      <c r="P367" s="252">
        <f>(C148)</f>
        <v>145.19999999999999</v>
      </c>
      <c r="Q367" s="296" t="s">
        <v>1645</v>
      </c>
      <c r="R367" s="252">
        <f t="shared" si="37"/>
        <v>1422.96</v>
      </c>
      <c r="U367" s="252" t="s">
        <v>386</v>
      </c>
      <c r="W367" s="253"/>
      <c r="X367" s="252">
        <f>X365+C19</f>
        <v>7052.46</v>
      </c>
      <c r="Y367" s="252">
        <f>X365+X367+X368+X369+X370+X371</f>
        <v>43827.86</v>
      </c>
      <c r="Z367" s="252">
        <f>Y367/6</f>
        <v>7304.64</v>
      </c>
      <c r="AB367" s="252">
        <v>10.6</v>
      </c>
      <c r="AC367" s="252" t="s">
        <v>868</v>
      </c>
      <c r="AD367" s="296" t="s">
        <v>1712</v>
      </c>
      <c r="AE367" s="252">
        <f>V358</f>
        <v>932</v>
      </c>
      <c r="AF367" s="296" t="s">
        <v>868</v>
      </c>
      <c r="AG367" s="252">
        <f>(AB367*AE367)</f>
        <v>9879.2000000000007</v>
      </c>
    </row>
    <row r="368" spans="1:34" ht="20.25" customHeight="1">
      <c r="A368" s="363">
        <f t="shared" si="36"/>
        <v>203</v>
      </c>
      <c r="B368" s="365" t="s">
        <v>241</v>
      </c>
      <c r="C368" s="405">
        <v>26.6</v>
      </c>
      <c r="D368" s="406" t="s">
        <v>769</v>
      </c>
      <c r="H368" s="296" t="s">
        <v>388</v>
      </c>
      <c r="J368" s="296">
        <f>K368-K367</f>
        <v>159.19999999999999</v>
      </c>
      <c r="K368" s="252">
        <f>(K367+C20)</f>
        <v>6927.7</v>
      </c>
      <c r="L368" s="252">
        <f>(K367+K368)/2</f>
        <v>6848.1</v>
      </c>
      <c r="N368" s="296" t="s">
        <v>449</v>
      </c>
      <c r="O368" s="296" t="s">
        <v>450</v>
      </c>
      <c r="P368" s="296" t="s">
        <v>975</v>
      </c>
      <c r="Q368" s="296" t="s">
        <v>449</v>
      </c>
      <c r="R368" s="252">
        <v>0</v>
      </c>
      <c r="U368" s="252" t="s">
        <v>388</v>
      </c>
      <c r="W368" s="253"/>
      <c r="X368" s="252">
        <f>X367+C20</f>
        <v>7211.66</v>
      </c>
      <c r="Y368" s="252">
        <f>SUM(X367:X368)/2</f>
        <v>7132.06</v>
      </c>
      <c r="AB368" s="252">
        <v>7.1</v>
      </c>
      <c r="AC368" s="252" t="s">
        <v>868</v>
      </c>
      <c r="AD368" s="296" t="s">
        <v>1902</v>
      </c>
      <c r="AE368" s="252">
        <f>V359</f>
        <v>651</v>
      </c>
      <c r="AF368" s="296" t="s">
        <v>868</v>
      </c>
      <c r="AG368" s="252">
        <f>(AB368*AE368)</f>
        <v>4622.1000000000004</v>
      </c>
      <c r="AH368" s="252">
        <f>(AG377+AG376)/2</f>
        <v>6777.84</v>
      </c>
    </row>
    <row r="369" spans="1:34" ht="20.25" customHeight="1">
      <c r="A369" s="363">
        <f t="shared" si="36"/>
        <v>204</v>
      </c>
      <c r="B369" s="365" t="s">
        <v>242</v>
      </c>
      <c r="C369" s="405">
        <v>33.89</v>
      </c>
      <c r="D369" s="406" t="s">
        <v>769</v>
      </c>
      <c r="H369" s="296" t="s">
        <v>2232</v>
      </c>
      <c r="J369" s="296">
        <f>K369-K368</f>
        <v>159.19999999999999</v>
      </c>
      <c r="K369" s="252">
        <f>(K368+C21)</f>
        <v>7086.9</v>
      </c>
      <c r="L369" s="252">
        <f>SUM(K367:K369)/3</f>
        <v>6927.7</v>
      </c>
      <c r="R369" s="358" t="s">
        <v>1586</v>
      </c>
      <c r="U369" s="252" t="s">
        <v>2232</v>
      </c>
      <c r="W369" s="253"/>
      <c r="X369" s="252">
        <f>X368+C20</f>
        <v>7370.86</v>
      </c>
      <c r="Y369" s="252">
        <f>SUM(X367:X369)/3</f>
        <v>7211.66</v>
      </c>
      <c r="AB369" s="252">
        <v>21.2</v>
      </c>
      <c r="AC369" s="252" t="s">
        <v>868</v>
      </c>
      <c r="AD369" s="296" t="s">
        <v>320</v>
      </c>
      <c r="AE369" s="252">
        <f>V360</f>
        <v>534</v>
      </c>
      <c r="AF369" s="296" t="s">
        <v>868</v>
      </c>
      <c r="AG369" s="252">
        <f>(AB369*AE369)</f>
        <v>11320.8</v>
      </c>
      <c r="AH369" s="252">
        <f>SUM(AG376:AG378)/3</f>
        <v>6857.44</v>
      </c>
    </row>
    <row r="370" spans="1:34" ht="20.25" customHeight="1">
      <c r="A370" s="363">
        <f t="shared" si="36"/>
        <v>205</v>
      </c>
      <c r="B370" s="365" t="s">
        <v>973</v>
      </c>
      <c r="C370" s="405"/>
      <c r="D370" s="283"/>
      <c r="H370" s="296" t="s">
        <v>380</v>
      </c>
      <c r="J370" s="296">
        <f>K370-K369</f>
        <v>159.19999999999999</v>
      </c>
      <c r="K370" s="252">
        <f>K369+C21</f>
        <v>7246.1</v>
      </c>
      <c r="O370" s="296" t="s">
        <v>441</v>
      </c>
      <c r="R370" s="252">
        <f>SUM(R362:R368)</f>
        <v>7641</v>
      </c>
      <c r="U370" s="252" t="s">
        <v>380</v>
      </c>
      <c r="W370" s="253"/>
      <c r="X370" s="252">
        <f>X369+C20</f>
        <v>7530.06</v>
      </c>
      <c r="AC370" s="252" t="s">
        <v>449</v>
      </c>
      <c r="AD370" s="296" t="s">
        <v>450</v>
      </c>
      <c r="AF370" s="296" t="s">
        <v>449</v>
      </c>
      <c r="AG370" s="252">
        <v>0</v>
      </c>
    </row>
    <row r="371" spans="1:34" ht="20.25" customHeight="1">
      <c r="A371" s="363">
        <f t="shared" si="36"/>
        <v>206</v>
      </c>
      <c r="B371" s="365" t="s">
        <v>240</v>
      </c>
      <c r="C371" s="405">
        <v>13.29</v>
      </c>
      <c r="D371" s="406" t="s">
        <v>769</v>
      </c>
      <c r="H371" s="296" t="s">
        <v>488</v>
      </c>
      <c r="J371" s="296">
        <f>K371-K370</f>
        <v>159.19999999999999</v>
      </c>
      <c r="K371" s="252">
        <f>K370+C21</f>
        <v>7405.3</v>
      </c>
      <c r="R371" s="358" t="s">
        <v>1586</v>
      </c>
      <c r="U371" s="252" t="s">
        <v>488</v>
      </c>
      <c r="W371" s="253"/>
      <c r="X371" s="252">
        <f>X370+C20</f>
        <v>7689.26</v>
      </c>
      <c r="AF371" s="296"/>
      <c r="AG371" s="358" t="s">
        <v>1586</v>
      </c>
    </row>
    <row r="372" spans="1:34" ht="20.25" customHeight="1">
      <c r="A372" s="363">
        <f t="shared" si="36"/>
        <v>207</v>
      </c>
      <c r="B372" s="365" t="s">
        <v>241</v>
      </c>
      <c r="C372" s="405">
        <v>18.02</v>
      </c>
      <c r="D372" s="406" t="s">
        <v>769</v>
      </c>
      <c r="H372" s="296" t="s">
        <v>1831</v>
      </c>
      <c r="J372" s="296">
        <f>SUM(K367+K368+K369)/3</f>
        <v>6927.7</v>
      </c>
      <c r="K372" s="252">
        <f>(K367+K368+K369+K370)/4</f>
        <v>7007.3</v>
      </c>
      <c r="O372" s="296" t="s">
        <v>552</v>
      </c>
      <c r="R372" s="252">
        <f>(R370/10)</f>
        <v>764.1</v>
      </c>
      <c r="U372" s="252" t="s">
        <v>1831</v>
      </c>
      <c r="W372" s="253">
        <v>2171.31</v>
      </c>
      <c r="X372" s="252">
        <f>SUM(X367:X370)/4</f>
        <v>7291.26</v>
      </c>
      <c r="AD372" s="296" t="s">
        <v>614</v>
      </c>
      <c r="AF372" s="296"/>
      <c r="AG372" s="252">
        <f>SUM(AG364:AG370)</f>
        <v>66193.36</v>
      </c>
    </row>
    <row r="373" spans="1:34" ht="20.25" customHeight="1">
      <c r="A373" s="363">
        <f t="shared" si="36"/>
        <v>208</v>
      </c>
      <c r="B373" s="365" t="s">
        <v>242</v>
      </c>
      <c r="C373" s="405">
        <v>23.17</v>
      </c>
      <c r="D373" s="406" t="s">
        <v>769</v>
      </c>
      <c r="R373" s="358" t="s">
        <v>2055</v>
      </c>
      <c r="W373" s="253"/>
      <c r="AF373" s="296"/>
      <c r="AG373" s="358" t="s">
        <v>1586</v>
      </c>
    </row>
    <row r="374" spans="1:34" ht="20.25"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6619.34</v>
      </c>
    </row>
    <row r="375" spans="1:34" ht="20.25" customHeight="1">
      <c r="A375" s="363">
        <f t="shared" si="36"/>
        <v>210</v>
      </c>
      <c r="B375" s="365" t="s">
        <v>240</v>
      </c>
      <c r="C375" s="405">
        <v>9</v>
      </c>
      <c r="D375" s="406" t="s">
        <v>769</v>
      </c>
      <c r="H375" s="358" t="s">
        <v>1586</v>
      </c>
      <c r="O375" s="358" t="s">
        <v>1586</v>
      </c>
      <c r="U375" s="252" t="s">
        <v>1586</v>
      </c>
      <c r="W375" s="253"/>
      <c r="AF375" s="296"/>
      <c r="AG375" s="358" t="s">
        <v>2055</v>
      </c>
    </row>
    <row r="376" spans="1:34" ht="20.25"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6698.24</v>
      </c>
    </row>
    <row r="377" spans="1:34" ht="20.25"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6857.44</v>
      </c>
    </row>
    <row r="378" spans="1:34" ht="20.25"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7016.64</v>
      </c>
    </row>
    <row r="379" spans="1:34" ht="20.25" customHeight="1">
      <c r="A379" s="363">
        <f t="shared" si="36"/>
        <v>214</v>
      </c>
      <c r="B379" s="365" t="s">
        <v>240</v>
      </c>
      <c r="C379" s="405">
        <v>4.29</v>
      </c>
      <c r="D379" s="406" t="s">
        <v>769</v>
      </c>
      <c r="F379" s="252">
        <f>F311</f>
        <v>4800</v>
      </c>
      <c r="G379" s="252" t="s">
        <v>1425</v>
      </c>
      <c r="H379" s="252" t="str">
        <f>H309</f>
        <v>Bricks of size 22x11x7 cm</v>
      </c>
      <c r="I379" s="252">
        <f>(C80)</f>
        <v>5728.64</v>
      </c>
      <c r="J379" s="296" t="s">
        <v>1594</v>
      </c>
      <c r="K379" s="252">
        <f>(F379*I379)/1000</f>
        <v>27497.47</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7175.84</v>
      </c>
    </row>
    <row r="380" spans="1:34" ht="20.25" customHeight="1">
      <c r="A380" s="363">
        <f t="shared" si="36"/>
        <v>215</v>
      </c>
      <c r="B380" s="365" t="s">
        <v>241</v>
      </c>
      <c r="C380" s="405">
        <v>6.01</v>
      </c>
      <c r="D380" s="406" t="s">
        <v>769</v>
      </c>
      <c r="F380" s="252">
        <v>1.59</v>
      </c>
      <c r="G380" s="252" t="s">
        <v>869</v>
      </c>
      <c r="H380" s="296" t="s">
        <v>1307</v>
      </c>
      <c r="I380" s="252">
        <f>(K40)</f>
        <v>4031.98</v>
      </c>
      <c r="J380" s="296" t="s">
        <v>869</v>
      </c>
      <c r="K380" s="252">
        <f>(F380*I380)</f>
        <v>6410.85</v>
      </c>
      <c r="N380" s="296" t="s">
        <v>449</v>
      </c>
      <c r="O380" s="296" t="s">
        <v>1836</v>
      </c>
      <c r="P380" s="296" t="s">
        <v>975</v>
      </c>
      <c r="Q380" s="296" t="s">
        <v>449</v>
      </c>
      <c r="R380" s="252">
        <v>1.46</v>
      </c>
      <c r="S380" s="356">
        <v>1.59</v>
      </c>
      <c r="T380" s="252" t="s">
        <v>869</v>
      </c>
      <c r="U380" s="252" t="s">
        <v>1307</v>
      </c>
      <c r="V380" s="252">
        <f>I380</f>
        <v>4031.98</v>
      </c>
      <c r="W380" s="253" t="s">
        <v>869</v>
      </c>
      <c r="X380" s="252">
        <f>V380*S380</f>
        <v>6410.85</v>
      </c>
      <c r="AD380" s="296" t="s">
        <v>488</v>
      </c>
      <c r="AF380" s="296"/>
      <c r="AG380" s="252">
        <f>AG379+C20</f>
        <v>7335.04</v>
      </c>
    </row>
    <row r="381" spans="1:34" ht="20.25"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6937.04</v>
      </c>
    </row>
    <row r="382" spans="1:34" ht="20.25"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0.25"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0.25"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0.25"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4733</v>
      </c>
      <c r="AR385" s="296"/>
    </row>
    <row r="386" spans="1:45" ht="20.25" customHeight="1">
      <c r="A386" s="363">
        <f t="shared" si="36"/>
        <v>221</v>
      </c>
      <c r="B386" s="365" t="s">
        <v>1113</v>
      </c>
      <c r="C386" s="405"/>
      <c r="D386" s="283"/>
      <c r="K386" s="358" t="s">
        <v>1586</v>
      </c>
      <c r="W386" s="253"/>
      <c r="X386" s="377" t="s">
        <v>429</v>
      </c>
      <c r="AD386" s="252" t="str">
        <f>AD309</f>
        <v>Bricks of size 23x11.4x7.5 cm</v>
      </c>
      <c r="AF386" s="296"/>
      <c r="AR386" s="296"/>
    </row>
    <row r="387" spans="1:45" ht="20.25" customHeight="1">
      <c r="A387" s="363">
        <f t="shared" si="36"/>
        <v>222</v>
      </c>
      <c r="B387" s="365" t="s">
        <v>240</v>
      </c>
      <c r="C387" s="405">
        <v>15.87</v>
      </c>
      <c r="D387" s="406" t="s">
        <v>769</v>
      </c>
      <c r="H387" s="296" t="s">
        <v>614</v>
      </c>
      <c r="K387" s="252">
        <f>SUM(K379:K385)</f>
        <v>63461.42</v>
      </c>
      <c r="U387" s="252" t="s">
        <v>614</v>
      </c>
      <c r="W387" s="253"/>
      <c r="X387" s="252">
        <f>SUM(X379:X386)</f>
        <v>66300.95</v>
      </c>
      <c r="AD387" s="358" t="s">
        <v>1586</v>
      </c>
      <c r="AF387" s="296"/>
      <c r="AP387" s="358" t="s">
        <v>1586</v>
      </c>
      <c r="AR387" s="296"/>
    </row>
    <row r="388" spans="1:45" ht="20.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4734</v>
      </c>
      <c r="AQ388" s="362">
        <v>45.35</v>
      </c>
      <c r="AR388" s="296" t="s">
        <v>1398</v>
      </c>
      <c r="AS388" s="252">
        <f>(AN388*AQ388)</f>
        <v>4126.8500000000004</v>
      </c>
    </row>
    <row r="389" spans="1:45" ht="20.25" customHeight="1">
      <c r="A389" s="363">
        <f t="shared" si="36"/>
        <v>224</v>
      </c>
      <c r="B389" s="365" t="s">
        <v>242</v>
      </c>
      <c r="C389" s="405">
        <v>22.31</v>
      </c>
      <c r="D389" s="406" t="s">
        <v>769</v>
      </c>
      <c r="H389" s="296" t="s">
        <v>773</v>
      </c>
      <c r="K389" s="252">
        <f>(K387/10)</f>
        <v>6346.14</v>
      </c>
      <c r="O389" s="358" t="s">
        <v>1586</v>
      </c>
      <c r="U389" s="252" t="s">
        <v>773</v>
      </c>
      <c r="W389" s="253"/>
      <c r="X389" s="252">
        <f>X387/10</f>
        <v>6630.1</v>
      </c>
      <c r="AB389" s="252">
        <v>1.27</v>
      </c>
      <c r="AC389" s="252" t="s">
        <v>869</v>
      </c>
      <c r="AD389" s="296" t="s">
        <v>1307</v>
      </c>
      <c r="AE389" s="252">
        <f>V380</f>
        <v>4031.98</v>
      </c>
      <c r="AF389" s="296" t="s">
        <v>869</v>
      </c>
      <c r="AG389" s="252">
        <f>(AB389*AE389)</f>
        <v>5120.6099999999997</v>
      </c>
      <c r="AN389" s="252">
        <v>0.11</v>
      </c>
      <c r="AO389" s="252" t="s">
        <v>869</v>
      </c>
      <c r="AP389" s="296" t="s">
        <v>1307</v>
      </c>
      <c r="AQ389" s="252">
        <f>AE389</f>
        <v>4031.98</v>
      </c>
      <c r="AR389" s="296" t="s">
        <v>869</v>
      </c>
      <c r="AS389" s="252">
        <f>(AN389*AQ389)</f>
        <v>443.52</v>
      </c>
    </row>
    <row r="390" spans="1:45" ht="20.25"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0.25" customHeight="1">
      <c r="A391" s="363">
        <f t="shared" si="36"/>
        <v>226</v>
      </c>
      <c r="B391" s="296" t="s">
        <v>5283</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0.25"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0.25"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0.25" customHeight="1">
      <c r="A394" s="363">
        <f t="shared" si="36"/>
        <v>229</v>
      </c>
      <c r="B394" s="365" t="s">
        <v>1118</v>
      </c>
      <c r="C394" s="362">
        <v>151.4</v>
      </c>
      <c r="D394" s="365" t="s">
        <v>1771</v>
      </c>
      <c r="F394" s="252">
        <v>1.1000000000000001</v>
      </c>
      <c r="G394" s="252" t="s">
        <v>869</v>
      </c>
      <c r="H394" s="296" t="s">
        <v>1119</v>
      </c>
      <c r="I394" s="252">
        <f>(K389)</f>
        <v>6346.14</v>
      </c>
      <c r="J394" s="296" t="s">
        <v>869</v>
      </c>
      <c r="K394" s="252">
        <f>(F394*I394)</f>
        <v>6980.75</v>
      </c>
      <c r="N394" s="296" t="s">
        <v>449</v>
      </c>
      <c r="O394" s="296" t="s">
        <v>1836</v>
      </c>
      <c r="P394" s="296" t="s">
        <v>975</v>
      </c>
      <c r="Q394" s="296" t="s">
        <v>449</v>
      </c>
      <c r="R394" s="252">
        <v>2.09</v>
      </c>
      <c r="S394" s="356">
        <v>1.1200000000000001</v>
      </c>
      <c r="T394" s="252" t="s">
        <v>869</v>
      </c>
      <c r="U394" s="252" t="s">
        <v>1119</v>
      </c>
      <c r="V394" s="252">
        <f>X389</f>
        <v>6630.1</v>
      </c>
      <c r="W394" s="253" t="s">
        <v>869</v>
      </c>
      <c r="X394" s="252">
        <f>V394*S394</f>
        <v>7425.71</v>
      </c>
      <c r="AC394" s="252" t="s">
        <v>449</v>
      </c>
      <c r="AD394" s="296" t="s">
        <v>450</v>
      </c>
      <c r="AE394" s="296" t="s">
        <v>975</v>
      </c>
      <c r="AF394" s="296" t="s">
        <v>449</v>
      </c>
      <c r="AG394" s="252">
        <v>0</v>
      </c>
      <c r="AO394" s="252" t="s">
        <v>449</v>
      </c>
      <c r="AP394" s="296" t="s">
        <v>450</v>
      </c>
      <c r="AQ394" s="296" t="s">
        <v>975</v>
      </c>
      <c r="AR394" s="296" t="s">
        <v>449</v>
      </c>
      <c r="AS394" s="252">
        <v>0</v>
      </c>
    </row>
    <row r="395" spans="1:45" ht="20.25"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0.25"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63484.51</v>
      </c>
      <c r="AP396" s="296" t="s">
        <v>4735</v>
      </c>
      <c r="AR396" s="296"/>
      <c r="AS396" s="252">
        <f>SUM(AS388:AS394)</f>
        <v>6861.92</v>
      </c>
    </row>
    <row r="397" spans="1:45" ht="20.25" customHeight="1">
      <c r="A397" s="363">
        <f t="shared" si="36"/>
        <v>232</v>
      </c>
      <c r="B397" s="365" t="s">
        <v>4026</v>
      </c>
      <c r="C397" s="362">
        <v>244.4</v>
      </c>
      <c r="D397" s="365" t="s">
        <v>1771</v>
      </c>
      <c r="K397" s="358" t="s">
        <v>1586</v>
      </c>
      <c r="R397" s="358" t="s">
        <v>1586</v>
      </c>
      <c r="W397" s="253"/>
      <c r="X397" s="377" t="s">
        <v>429</v>
      </c>
      <c r="AF397" s="296"/>
      <c r="AG397" s="358" t="s">
        <v>1586</v>
      </c>
      <c r="AR397" s="296"/>
      <c r="AS397" s="358" t="s">
        <v>1586</v>
      </c>
    </row>
    <row r="398" spans="1:45" ht="20.25" customHeight="1">
      <c r="A398" s="363">
        <f t="shared" si="36"/>
        <v>233</v>
      </c>
      <c r="B398" s="296" t="s">
        <v>5284</v>
      </c>
      <c r="C398" s="364"/>
      <c r="D398" s="364"/>
      <c r="H398" s="296" t="s">
        <v>441</v>
      </c>
      <c r="K398" s="252">
        <f>SUM(K394:K396)</f>
        <v>7979.75</v>
      </c>
      <c r="O398" s="296" t="s">
        <v>552</v>
      </c>
      <c r="R398" s="252">
        <f>(R396/100)</f>
        <v>33.549999999999997</v>
      </c>
      <c r="U398" s="252" t="s">
        <v>441</v>
      </c>
      <c r="W398" s="253"/>
      <c r="X398" s="252">
        <f>SUM(X394:X396)</f>
        <v>8424.7099999999991</v>
      </c>
      <c r="AD398" s="296" t="s">
        <v>773</v>
      </c>
      <c r="AF398" s="296"/>
      <c r="AG398" s="252">
        <f>(AG396/10)</f>
        <v>6348.45</v>
      </c>
      <c r="AP398" s="296" t="s">
        <v>552</v>
      </c>
      <c r="AR398" s="296"/>
      <c r="AS398" s="252">
        <f>(AS396/10.71)</f>
        <v>640.70000000000005</v>
      </c>
    </row>
    <row r="399" spans="1:45" ht="20.25"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0.25" customHeight="1">
      <c r="A400" s="363">
        <f t="shared" si="36"/>
        <v>235</v>
      </c>
      <c r="B400" s="365" t="s">
        <v>1116</v>
      </c>
      <c r="C400" s="362">
        <v>23.2</v>
      </c>
      <c r="D400" s="365" t="s">
        <v>868</v>
      </c>
      <c r="H400" s="296" t="s">
        <v>552</v>
      </c>
      <c r="K400" s="274">
        <f>(K398/10)</f>
        <v>797.98</v>
      </c>
      <c r="N400" s="296" t="s">
        <v>675</v>
      </c>
      <c r="O400" s="296" t="s">
        <v>349</v>
      </c>
      <c r="U400" s="252" t="s">
        <v>552</v>
      </c>
      <c r="W400" s="253"/>
      <c r="X400" s="252">
        <f>X398/10</f>
        <v>842.47</v>
      </c>
      <c r="AF400" s="296"/>
      <c r="AP400" s="296" t="s">
        <v>386</v>
      </c>
      <c r="AR400" s="296">
        <f>AF411</f>
        <v>8.99</v>
      </c>
      <c r="AS400" s="274">
        <f>AS398+AR400</f>
        <v>649.69000000000005</v>
      </c>
    </row>
    <row r="401" spans="1:45" ht="20.25"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667.84</v>
      </c>
    </row>
    <row r="402" spans="1:45" ht="20.25" customHeight="1">
      <c r="A402" s="363">
        <f t="shared" si="36"/>
        <v>237</v>
      </c>
      <c r="B402" s="365" t="s">
        <v>1118</v>
      </c>
      <c r="C402" s="362">
        <v>69.8</v>
      </c>
      <c r="D402" s="365" t="s">
        <v>868</v>
      </c>
      <c r="H402" s="296" t="s">
        <v>386</v>
      </c>
      <c r="J402" s="296">
        <f>K402-K400</f>
        <v>8.68</v>
      </c>
      <c r="K402" s="274">
        <f>(K400+C19/10*F394)</f>
        <v>806.66</v>
      </c>
      <c r="M402" s="252">
        <v>10</v>
      </c>
      <c r="N402" s="296" t="s">
        <v>609</v>
      </c>
      <c r="O402" s="296" t="s">
        <v>1114</v>
      </c>
      <c r="P402" s="252">
        <f>(R398)</f>
        <v>33.549999999999997</v>
      </c>
      <c r="Q402" s="296" t="s">
        <v>609</v>
      </c>
      <c r="R402" s="252">
        <f>(M402*P402)</f>
        <v>335.5</v>
      </c>
      <c r="U402" s="274" t="s">
        <v>386</v>
      </c>
      <c r="W402" s="253">
        <f>0.112*C19</f>
        <v>8.84</v>
      </c>
      <c r="X402" s="274">
        <f>X400+W402</f>
        <v>851.31</v>
      </c>
      <c r="AD402" s="358" t="s">
        <v>1586</v>
      </c>
      <c r="AF402" s="296"/>
      <c r="AP402" s="296" t="s">
        <v>2232</v>
      </c>
      <c r="AR402" s="296">
        <f>AR401</f>
        <v>18.149999999999999</v>
      </c>
      <c r="AS402" s="274">
        <f t="shared" si="38"/>
        <v>685.99</v>
      </c>
    </row>
    <row r="403" spans="1:45" ht="20.25" customHeight="1">
      <c r="A403" s="363">
        <f t="shared" si="36"/>
        <v>238</v>
      </c>
      <c r="B403" s="365" t="s">
        <v>1120</v>
      </c>
      <c r="C403" s="362">
        <v>87</v>
      </c>
      <c r="D403" s="365" t="s">
        <v>868</v>
      </c>
      <c r="H403" s="296" t="s">
        <v>388</v>
      </c>
      <c r="J403" s="296">
        <f>K403-K402</f>
        <v>17.510000000000002</v>
      </c>
      <c r="K403" s="274">
        <f>(K402+C20/10*F394)</f>
        <v>824.17</v>
      </c>
      <c r="M403" s="252">
        <v>10</v>
      </c>
      <c r="N403" s="296" t="s">
        <v>609</v>
      </c>
      <c r="O403" s="296" t="s">
        <v>1529</v>
      </c>
      <c r="P403" s="252">
        <f>(R398/2)</f>
        <v>16.78</v>
      </c>
      <c r="Q403" s="296" t="s">
        <v>609</v>
      </c>
      <c r="R403" s="252">
        <f>(M403*P403)</f>
        <v>167.8</v>
      </c>
      <c r="U403" s="274" t="s">
        <v>388</v>
      </c>
      <c r="W403" s="253">
        <f>0.112*C20</f>
        <v>17.829999999999998</v>
      </c>
      <c r="X403" s="274">
        <f>X402+W403</f>
        <v>869.14</v>
      </c>
      <c r="AB403" s="252">
        <v>1.1399999999999999</v>
      </c>
      <c r="AC403" s="252" t="s">
        <v>869</v>
      </c>
      <c r="AD403" s="296" t="s">
        <v>1119</v>
      </c>
      <c r="AE403" s="252">
        <f>(AG398)</f>
        <v>6348.45</v>
      </c>
      <c r="AF403" s="296" t="s">
        <v>869</v>
      </c>
      <c r="AG403" s="252">
        <f>(AB403*AE403)</f>
        <v>7237.23</v>
      </c>
      <c r="AP403" s="296" t="s">
        <v>380</v>
      </c>
      <c r="AR403" s="296">
        <f>AR402</f>
        <v>18.149999999999999</v>
      </c>
      <c r="AS403" s="274">
        <f t="shared" si="38"/>
        <v>704.14</v>
      </c>
    </row>
    <row r="404" spans="1:45" ht="20.25" customHeight="1">
      <c r="A404" s="363">
        <f t="shared" si="36"/>
        <v>239</v>
      </c>
      <c r="B404" s="365" t="s">
        <v>240</v>
      </c>
      <c r="C404" s="362">
        <v>116.3</v>
      </c>
      <c r="D404" s="365" t="s">
        <v>868</v>
      </c>
      <c r="H404" s="296" t="s">
        <v>2232</v>
      </c>
      <c r="K404" s="274">
        <f>(K403+C21/10*F394)</f>
        <v>841.68</v>
      </c>
      <c r="O404" s="296" t="s">
        <v>1530</v>
      </c>
      <c r="R404" s="358" t="s">
        <v>1586</v>
      </c>
      <c r="U404" s="274" t="s">
        <v>2232</v>
      </c>
      <c r="W404" s="253">
        <f>W403</f>
        <v>17.829999999999998</v>
      </c>
      <c r="X404" s="274">
        <f>X403+W404</f>
        <v>886.97</v>
      </c>
      <c r="AB404" s="252">
        <v>1</v>
      </c>
      <c r="AC404" s="252" t="s">
        <v>769</v>
      </c>
      <c r="AD404" s="296" t="s">
        <v>2009</v>
      </c>
      <c r="AE404" s="252">
        <f>AE390</f>
        <v>999</v>
      </c>
      <c r="AF404" s="296" t="s">
        <v>868</v>
      </c>
      <c r="AG404" s="252">
        <f>(AB404*AE404)</f>
        <v>999</v>
      </c>
      <c r="AP404" s="296" t="s">
        <v>1532</v>
      </c>
      <c r="AR404" s="296">
        <f>AR403</f>
        <v>18.149999999999999</v>
      </c>
      <c r="AS404" s="274">
        <f t="shared" si="38"/>
        <v>722.29</v>
      </c>
    </row>
    <row r="405" spans="1:45" ht="20.25" customHeight="1">
      <c r="A405" s="363">
        <f t="shared" si="36"/>
        <v>240</v>
      </c>
      <c r="B405" s="409" t="s">
        <v>6005</v>
      </c>
      <c r="C405" s="410">
        <v>278.3</v>
      </c>
      <c r="D405" s="411" t="s">
        <v>868</v>
      </c>
      <c r="H405" s="296" t="s">
        <v>380</v>
      </c>
      <c r="K405" s="274">
        <f>(K404+C21/10*F394)</f>
        <v>859.19</v>
      </c>
      <c r="R405" s="252">
        <f>SUM(R402:R403)</f>
        <v>503.3</v>
      </c>
      <c r="U405" s="274" t="s">
        <v>380</v>
      </c>
      <c r="W405" s="253">
        <f>W403</f>
        <v>17.829999999999998</v>
      </c>
      <c r="X405" s="274">
        <f>X404+W405</f>
        <v>904.8</v>
      </c>
      <c r="AC405" s="252" t="s">
        <v>449</v>
      </c>
      <c r="AD405" s="296" t="s">
        <v>450</v>
      </c>
      <c r="AE405" s="296" t="s">
        <v>975</v>
      </c>
      <c r="AF405" s="296" t="s">
        <v>449</v>
      </c>
      <c r="AG405" s="252">
        <v>0</v>
      </c>
      <c r="AP405" s="296" t="s">
        <v>3562</v>
      </c>
      <c r="AR405" s="296">
        <f>AR404</f>
        <v>18.149999999999999</v>
      </c>
      <c r="AS405" s="274">
        <f t="shared" si="38"/>
        <v>740.44</v>
      </c>
    </row>
    <row r="406" spans="1:45" ht="20.25" customHeight="1">
      <c r="A406" s="363">
        <f t="shared" si="36"/>
        <v>241</v>
      </c>
      <c r="B406" s="296" t="s">
        <v>5285</v>
      </c>
      <c r="C406" s="364"/>
      <c r="D406" s="365" t="s">
        <v>975</v>
      </c>
      <c r="H406" s="296" t="s">
        <v>1532</v>
      </c>
      <c r="K406" s="274">
        <f>(K405+C21/10*F394)</f>
        <v>876.7</v>
      </c>
      <c r="L406" s="252">
        <f>K406-K405</f>
        <v>17.510000000000002</v>
      </c>
      <c r="O406" s="296" t="s">
        <v>441</v>
      </c>
      <c r="R406" s="358" t="s">
        <v>1586</v>
      </c>
      <c r="U406" s="274" t="s">
        <v>1532</v>
      </c>
      <c r="W406" s="253">
        <f>W405</f>
        <v>17.829999999999998</v>
      </c>
      <c r="X406" s="274">
        <f>X405+W406</f>
        <v>922.63</v>
      </c>
      <c r="AF406" s="296"/>
      <c r="AG406" s="358" t="s">
        <v>1586</v>
      </c>
      <c r="AP406" s="296" t="s">
        <v>3563</v>
      </c>
      <c r="AR406" s="296">
        <f>AR405</f>
        <v>18.149999999999999</v>
      </c>
      <c r="AS406" s="274">
        <f t="shared" si="38"/>
        <v>758.59</v>
      </c>
    </row>
    <row r="407" spans="1:45" ht="20.25" customHeight="1">
      <c r="A407" s="363">
        <f t="shared" si="36"/>
        <v>242</v>
      </c>
      <c r="B407" s="365" t="s">
        <v>1115</v>
      </c>
      <c r="C407" s="362">
        <v>13.6</v>
      </c>
      <c r="D407" s="365" t="s">
        <v>868</v>
      </c>
      <c r="F407" s="369">
        <v>11</v>
      </c>
      <c r="G407" s="252" t="s">
        <v>2251</v>
      </c>
      <c r="H407" s="296" t="s">
        <v>809</v>
      </c>
      <c r="L407" s="252">
        <f>K406+L406</f>
        <v>894.21</v>
      </c>
      <c r="R407" s="252">
        <f>(R405/10)</f>
        <v>50.33</v>
      </c>
      <c r="S407" s="356">
        <v>11</v>
      </c>
      <c r="T407" s="252" t="s">
        <v>2251</v>
      </c>
      <c r="U407" s="252" t="s">
        <v>809</v>
      </c>
      <c r="W407" s="253"/>
      <c r="AD407" s="296" t="s">
        <v>441</v>
      </c>
      <c r="AF407" s="296"/>
      <c r="AG407" s="252">
        <f>SUM(AG403:AG405)</f>
        <v>8236.23</v>
      </c>
    </row>
    <row r="408" spans="1:45" ht="20.25"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0.25" customHeight="1">
      <c r="A409" s="363">
        <f t="shared" si="36"/>
        <v>244</v>
      </c>
      <c r="B409" s="365" t="s">
        <v>1117</v>
      </c>
      <c r="C409" s="362">
        <v>28.6</v>
      </c>
      <c r="D409" s="365" t="s">
        <v>868</v>
      </c>
      <c r="H409" s="358" t="s">
        <v>1586</v>
      </c>
      <c r="U409" s="252" t="s">
        <v>1586</v>
      </c>
      <c r="W409" s="253"/>
      <c r="AD409" s="296" t="s">
        <v>552</v>
      </c>
      <c r="AF409" s="296"/>
      <c r="AG409" s="274">
        <f>(AG407/10)</f>
        <v>823.62</v>
      </c>
    </row>
    <row r="410" spans="1:45" ht="20.25" customHeight="1">
      <c r="A410" s="363">
        <f t="shared" si="36"/>
        <v>245</v>
      </c>
      <c r="B410" s="365" t="s">
        <v>1118</v>
      </c>
      <c r="C410" s="362">
        <v>46.5</v>
      </c>
      <c r="D410" s="365" t="s">
        <v>868</v>
      </c>
      <c r="F410" s="252">
        <f>F311</f>
        <v>4800</v>
      </c>
      <c r="G410" s="252" t="s">
        <v>1425</v>
      </c>
      <c r="H410" s="252" t="str">
        <f>H309</f>
        <v>Bricks of size 22x11x7 cm</v>
      </c>
      <c r="I410" s="252">
        <f>(C80)</f>
        <v>5728.64</v>
      </c>
      <c r="J410" s="296" t="s">
        <v>1533</v>
      </c>
      <c r="K410" s="252">
        <f>(F410*I410)/1000</f>
        <v>27497.47</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0.25" customHeight="1">
      <c r="A411" s="363">
        <f t="shared" ref="A411:A421" si="40">(A410+1)</f>
        <v>246</v>
      </c>
      <c r="B411" s="365" t="s">
        <v>1120</v>
      </c>
      <c r="C411" s="362">
        <v>58.1</v>
      </c>
      <c r="D411" s="365" t="s">
        <v>868</v>
      </c>
      <c r="F411" s="252">
        <f>F380</f>
        <v>1.59</v>
      </c>
      <c r="G411" s="252" t="s">
        <v>869</v>
      </c>
      <c r="H411" s="296" t="s">
        <v>1307</v>
      </c>
      <c r="I411" s="252">
        <f>(K40)</f>
        <v>4031.98</v>
      </c>
      <c r="J411" s="296" t="s">
        <v>869</v>
      </c>
      <c r="K411" s="252">
        <f>(F411*I411)</f>
        <v>6410.85</v>
      </c>
      <c r="O411" s="296" t="s">
        <v>1535</v>
      </c>
      <c r="S411" s="356">
        <v>1.59</v>
      </c>
      <c r="T411" s="252" t="s">
        <v>869</v>
      </c>
      <c r="U411" s="252" t="s">
        <v>1307</v>
      </c>
      <c r="V411" s="252">
        <f t="shared" si="39"/>
        <v>4031.98</v>
      </c>
      <c r="W411" s="253" t="s">
        <v>869</v>
      </c>
      <c r="X411" s="252">
        <f t="shared" ref="X411:X416" si="41">V411*S411</f>
        <v>6410.85</v>
      </c>
      <c r="AD411" s="296" t="s">
        <v>386</v>
      </c>
      <c r="AF411" s="296">
        <f>C19*0.114</f>
        <v>8.99</v>
      </c>
      <c r="AG411" s="274">
        <f>AG409+AF411</f>
        <v>832.61</v>
      </c>
    </row>
    <row r="412" spans="1:45" ht="20.25"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850.76</v>
      </c>
    </row>
    <row r="413" spans="1:45" ht="20.25" customHeight="1">
      <c r="A413" s="363">
        <f t="shared" si="40"/>
        <v>248</v>
      </c>
      <c r="B413" s="409" t="s">
        <v>5286</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868.91</v>
      </c>
    </row>
    <row r="414" spans="1:45" ht="20.25" customHeight="1">
      <c r="A414" s="363">
        <f t="shared" si="40"/>
        <v>249</v>
      </c>
      <c r="B414" s="412" t="s">
        <v>4574</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887.06</v>
      </c>
    </row>
    <row r="415" spans="1:45" ht="20.25"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905.21</v>
      </c>
    </row>
    <row r="416" spans="1:45" ht="20.25"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923.36</v>
      </c>
    </row>
    <row r="417" spans="1:35" ht="20.25"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941.51</v>
      </c>
    </row>
    <row r="418" spans="1:35" ht="20.25" customHeight="1">
      <c r="A418" s="363">
        <f t="shared" si="40"/>
        <v>253</v>
      </c>
      <c r="B418" s="365" t="s">
        <v>1118</v>
      </c>
      <c r="C418" s="362">
        <v>87</v>
      </c>
      <c r="D418" s="365" t="s">
        <v>868</v>
      </c>
      <c r="H418" s="296" t="s">
        <v>614</v>
      </c>
      <c r="K418" s="252">
        <f>SUM(K410:K416)</f>
        <v>63461.42</v>
      </c>
      <c r="R418" s="252">
        <f>(R416/10)</f>
        <v>73.37</v>
      </c>
      <c r="U418" s="252" t="s">
        <v>614</v>
      </c>
      <c r="W418" s="253"/>
      <c r="X418" s="252">
        <f>SUM(X410:X416)</f>
        <v>66300.95</v>
      </c>
      <c r="AD418" s="296" t="s">
        <v>3564</v>
      </c>
      <c r="AF418" s="296">
        <f t="shared" si="43"/>
        <v>18.149999999999999</v>
      </c>
      <c r="AG418" s="274">
        <f t="shared" si="42"/>
        <v>959.66</v>
      </c>
    </row>
    <row r="419" spans="1:35" ht="20.25"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977.81</v>
      </c>
    </row>
    <row r="420" spans="1:35" ht="20.25" customHeight="1">
      <c r="A420" s="363">
        <f t="shared" si="40"/>
        <v>255</v>
      </c>
      <c r="B420" s="365" t="s">
        <v>240</v>
      </c>
      <c r="C420" s="362">
        <v>128</v>
      </c>
      <c r="D420" s="365" t="s">
        <v>868</v>
      </c>
      <c r="H420" s="296" t="s">
        <v>773</v>
      </c>
      <c r="K420" s="252">
        <f>(K418/10)</f>
        <v>6346.14</v>
      </c>
      <c r="U420" s="252" t="s">
        <v>773</v>
      </c>
      <c r="W420" s="253"/>
      <c r="X420" s="252">
        <f>X418/10</f>
        <v>6630.1</v>
      </c>
      <c r="AD420" s="296" t="s">
        <v>3584</v>
      </c>
      <c r="AF420" s="296">
        <f t="shared" si="43"/>
        <v>18.149999999999999</v>
      </c>
      <c r="AG420" s="274">
        <f t="shared" si="42"/>
        <v>995.96</v>
      </c>
    </row>
    <row r="421" spans="1:35" ht="20.25"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1014.11</v>
      </c>
    </row>
    <row r="422" spans="1:35" ht="20.25" customHeight="1">
      <c r="A422" s="364"/>
      <c r="B422" s="364"/>
      <c r="C422" s="364"/>
      <c r="D422" s="364"/>
      <c r="F422" s="296" t="s">
        <v>249</v>
      </c>
      <c r="S422" s="356" t="s">
        <v>249</v>
      </c>
      <c r="W422" s="253"/>
      <c r="AD422" s="252">
        <f>AD307</f>
        <v>0</v>
      </c>
      <c r="AF422" s="296">
        <f t="shared" si="43"/>
        <v>18.149999999999999</v>
      </c>
      <c r="AG422" s="274">
        <f>AG421+AF422</f>
        <v>1032.26</v>
      </c>
      <c r="AH422" s="252" t="s">
        <v>4303</v>
      </c>
      <c r="AI422" s="252">
        <f>AG422+AF422</f>
        <v>1050.4100000000001</v>
      </c>
    </row>
    <row r="423" spans="1:35" ht="20.25" customHeight="1">
      <c r="A423" s="363">
        <f>(A421+1)</f>
        <v>257</v>
      </c>
      <c r="B423" s="412" t="s">
        <v>4575</v>
      </c>
      <c r="C423" s="364"/>
      <c r="D423" s="365" t="s">
        <v>975</v>
      </c>
      <c r="O423" s="253" t="s">
        <v>1538</v>
      </c>
      <c r="W423" s="253"/>
      <c r="AD423" s="358" t="s">
        <v>1586</v>
      </c>
      <c r="AF423" s="296"/>
      <c r="AH423" s="252" t="s">
        <v>4304</v>
      </c>
      <c r="AI423" s="252">
        <f>AI422+AF422</f>
        <v>1068.56</v>
      </c>
    </row>
    <row r="424" spans="1:35" ht="20.25"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0.25"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4031.98</v>
      </c>
      <c r="AF425" s="296" t="s">
        <v>869</v>
      </c>
      <c r="AG425" s="252">
        <f>(AB425*AE425)</f>
        <v>5120.6099999999997</v>
      </c>
    </row>
    <row r="426" spans="1:35" ht="20.25" customHeight="1">
      <c r="A426" s="363">
        <f t="shared" si="44"/>
        <v>260</v>
      </c>
      <c r="B426" s="365" t="s">
        <v>1117</v>
      </c>
      <c r="C426" s="362">
        <v>98.6</v>
      </c>
      <c r="D426" s="365" t="s">
        <v>868</v>
      </c>
      <c r="F426" s="252">
        <v>0.7</v>
      </c>
      <c r="G426" s="252" t="s">
        <v>869</v>
      </c>
      <c r="H426" s="296" t="s">
        <v>2279</v>
      </c>
      <c r="I426" s="252">
        <f>(K420)</f>
        <v>6346.14</v>
      </c>
      <c r="J426" s="296" t="s">
        <v>868</v>
      </c>
      <c r="K426" s="252">
        <f>(F426*I426)</f>
        <v>4442.3</v>
      </c>
      <c r="O426" s="296" t="s">
        <v>2048</v>
      </c>
      <c r="S426" s="356">
        <v>0.7</v>
      </c>
      <c r="T426" s="252" t="s">
        <v>869</v>
      </c>
      <c r="U426" s="252" t="s">
        <v>2279</v>
      </c>
      <c r="V426" s="252">
        <f>X420</f>
        <v>6630.1</v>
      </c>
      <c r="W426" s="253" t="s">
        <v>868</v>
      </c>
      <c r="X426" s="252">
        <f>V426*S426</f>
        <v>4641.07</v>
      </c>
      <c r="AB426" s="252">
        <v>7</v>
      </c>
      <c r="AC426" s="252" t="s">
        <v>868</v>
      </c>
      <c r="AD426" s="296" t="s">
        <v>2009</v>
      </c>
      <c r="AE426" s="252">
        <f t="shared" si="45"/>
        <v>999</v>
      </c>
      <c r="AF426" s="296" t="s">
        <v>868</v>
      </c>
      <c r="AG426" s="252">
        <f>(AB426*AE426)</f>
        <v>6993</v>
      </c>
    </row>
    <row r="427" spans="1:35" ht="20.25"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0.25"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20.25"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20.25" customHeight="1">
      <c r="A430" s="363">
        <f t="shared" si="44"/>
        <v>264</v>
      </c>
      <c r="B430" s="411" t="s">
        <v>1121</v>
      </c>
      <c r="C430" s="410">
        <v>551</v>
      </c>
      <c r="D430" s="411" t="s">
        <v>868</v>
      </c>
      <c r="H430" s="296" t="s">
        <v>441</v>
      </c>
      <c r="K430" s="252">
        <f>SUM(K426:K428)</f>
        <v>5441.3</v>
      </c>
      <c r="O430" s="358" t="s">
        <v>1586</v>
      </c>
      <c r="U430" s="252" t="s">
        <v>441</v>
      </c>
      <c r="W430" s="253"/>
      <c r="X430" s="252">
        <f>SUM(X426:X428)</f>
        <v>5640.07</v>
      </c>
      <c r="AB430" s="252">
        <f>AB317</f>
        <v>0</v>
      </c>
      <c r="AC430" s="252" t="s">
        <v>449</v>
      </c>
      <c r="AD430" s="296" t="s">
        <v>450</v>
      </c>
      <c r="AE430" s="296" t="s">
        <v>975</v>
      </c>
      <c r="AF430" s="296" t="s">
        <v>449</v>
      </c>
      <c r="AG430" s="252">
        <v>0</v>
      </c>
    </row>
    <row r="431" spans="1:35" ht="20.25"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20.25" customHeight="1">
      <c r="A432" s="363">
        <f t="shared" si="44"/>
        <v>266</v>
      </c>
      <c r="B432" s="365" t="s">
        <v>1115</v>
      </c>
      <c r="C432" s="314">
        <v>1.8</v>
      </c>
      <c r="D432" s="365" t="s">
        <v>868</v>
      </c>
      <c r="H432" s="296" t="s">
        <v>552</v>
      </c>
      <c r="K432" s="252">
        <f>(K430/10)</f>
        <v>544.13</v>
      </c>
      <c r="M432" s="252">
        <v>8.1</v>
      </c>
      <c r="N432" s="296" t="s">
        <v>869</v>
      </c>
      <c r="O432" s="296" t="s">
        <v>2157</v>
      </c>
      <c r="P432" s="252">
        <f>(C26)</f>
        <v>38.950000000000003</v>
      </c>
      <c r="Q432" s="296" t="s">
        <v>869</v>
      </c>
      <c r="R432" s="252">
        <f>(M432*P432)</f>
        <v>315.5</v>
      </c>
      <c r="U432" s="252" t="s">
        <v>552</v>
      </c>
      <c r="W432" s="253"/>
      <c r="X432" s="252">
        <f>X430/10</f>
        <v>564.01</v>
      </c>
      <c r="AB432" s="252">
        <f>AB319</f>
        <v>0</v>
      </c>
      <c r="AD432" s="296" t="s">
        <v>614</v>
      </c>
      <c r="AF432" s="296"/>
      <c r="AG432" s="252">
        <f>SUM(AG424:AG431)</f>
        <v>63484.51</v>
      </c>
    </row>
    <row r="433" spans="1:33" ht="20.25"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0.25" customHeight="1">
      <c r="A434" s="363">
        <f t="shared" si="44"/>
        <v>268</v>
      </c>
      <c r="B434" s="365" t="s">
        <v>1117</v>
      </c>
      <c r="C434" s="314">
        <v>4</v>
      </c>
      <c r="D434" s="365" t="s">
        <v>868</v>
      </c>
      <c r="H434" s="296" t="s">
        <v>386</v>
      </c>
      <c r="K434" s="274">
        <f>(K432+C19/10*F426)</f>
        <v>549.65</v>
      </c>
      <c r="O434" s="296" t="s">
        <v>2159</v>
      </c>
      <c r="U434" s="274" t="s">
        <v>386</v>
      </c>
      <c r="W434" s="253">
        <f>0.07*C19</f>
        <v>5.52</v>
      </c>
      <c r="X434" s="274">
        <f>X432+W434</f>
        <v>569.53</v>
      </c>
      <c r="AD434" s="296" t="s">
        <v>773</v>
      </c>
      <c r="AF434" s="296"/>
      <c r="AG434" s="252">
        <f>(AG432/10)</f>
        <v>6348.45</v>
      </c>
    </row>
    <row r="435" spans="1:33" ht="20.25" customHeight="1">
      <c r="A435" s="363">
        <f t="shared" si="44"/>
        <v>269</v>
      </c>
      <c r="B435" s="365" t="s">
        <v>1118</v>
      </c>
      <c r="C435" s="314">
        <v>6.86</v>
      </c>
      <c r="D435" s="365" t="s">
        <v>868</v>
      </c>
      <c r="H435" s="296" t="s">
        <v>388</v>
      </c>
      <c r="K435" s="274">
        <f>(K434+C20/10*F426)</f>
        <v>560.79</v>
      </c>
      <c r="O435" s="296" t="s">
        <v>2160</v>
      </c>
      <c r="U435" s="274" t="s">
        <v>388</v>
      </c>
      <c r="W435" s="253">
        <f>0.07*C20</f>
        <v>11.14</v>
      </c>
      <c r="X435" s="274">
        <f>X434+W435</f>
        <v>580.66999999999996</v>
      </c>
      <c r="AF435" s="296"/>
      <c r="AG435" s="358" t="s">
        <v>2055</v>
      </c>
    </row>
    <row r="436" spans="1:33" ht="20.25" customHeight="1">
      <c r="A436" s="363">
        <f t="shared" si="44"/>
        <v>270</v>
      </c>
      <c r="B436" s="365" t="s">
        <v>1120</v>
      </c>
      <c r="C436" s="314">
        <v>9.15</v>
      </c>
      <c r="D436" s="365" t="s">
        <v>868</v>
      </c>
      <c r="H436" s="296" t="s">
        <v>2232</v>
      </c>
      <c r="K436" s="274">
        <f>(K435+C21/10*F426)</f>
        <v>571.92999999999995</v>
      </c>
      <c r="O436" s="296" t="s">
        <v>2161</v>
      </c>
      <c r="U436" s="274" t="s">
        <v>2232</v>
      </c>
      <c r="W436" s="253">
        <f>W435</f>
        <v>11.14</v>
      </c>
      <c r="X436" s="274">
        <f>X435+W436</f>
        <v>591.80999999999995</v>
      </c>
      <c r="AB436" s="296" t="s">
        <v>249</v>
      </c>
      <c r="AF436" s="296"/>
    </row>
    <row r="437" spans="1:33" ht="20.25" customHeight="1">
      <c r="A437" s="363">
        <f t="shared" si="44"/>
        <v>271</v>
      </c>
      <c r="B437" s="365" t="s">
        <v>240</v>
      </c>
      <c r="C437" s="314">
        <v>14.59</v>
      </c>
      <c r="D437" s="365" t="s">
        <v>868</v>
      </c>
      <c r="H437" s="296" t="s">
        <v>380</v>
      </c>
      <c r="K437" s="274">
        <f>(K436+C21/10*F426)</f>
        <v>583.07000000000005</v>
      </c>
      <c r="O437" s="296" t="s">
        <v>2164</v>
      </c>
      <c r="U437" s="274" t="s">
        <v>380</v>
      </c>
      <c r="W437" s="253">
        <f>W436</f>
        <v>11.14</v>
      </c>
      <c r="X437" s="274">
        <f>X436+W437</f>
        <v>602.95000000000005</v>
      </c>
      <c r="AF437" s="296"/>
    </row>
    <row r="438" spans="1:33" ht="20.25" customHeight="1">
      <c r="A438" s="363"/>
      <c r="B438" s="365"/>
      <c r="C438" s="314"/>
      <c r="D438" s="365"/>
      <c r="H438" s="296" t="s">
        <v>833</v>
      </c>
      <c r="K438" s="274">
        <f>(K437+C20/10*F426)</f>
        <v>594.21</v>
      </c>
      <c r="O438" s="296"/>
      <c r="U438" s="274" t="s">
        <v>833</v>
      </c>
      <c r="W438" s="253">
        <f>W437</f>
        <v>11.14</v>
      </c>
      <c r="X438" s="274">
        <f>X437+W438</f>
        <v>614.09</v>
      </c>
      <c r="AC438" s="252" t="s">
        <v>1539</v>
      </c>
      <c r="AD438" s="296" t="s">
        <v>3842</v>
      </c>
      <c r="AF438" s="296"/>
    </row>
    <row r="439" spans="1:33" ht="20.25"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0.25" customHeight="1">
      <c r="A440" s="363">
        <f t="shared" si="44"/>
        <v>273</v>
      </c>
      <c r="B440" s="412" t="s">
        <v>4576</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6348.45</v>
      </c>
      <c r="AF440" s="296" t="s">
        <v>868</v>
      </c>
      <c r="AG440" s="252">
        <f>(AB440*AE440)</f>
        <v>4761.34</v>
      </c>
    </row>
    <row r="441" spans="1:33" ht="20.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0.25"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0.25" customHeight="1">
      <c r="A443" s="363">
        <f t="shared" si="44"/>
        <v>276</v>
      </c>
      <c r="B443" s="365" t="s">
        <v>1117</v>
      </c>
      <c r="C443" s="362">
        <v>81.400000000000006</v>
      </c>
      <c r="D443" s="365" t="s">
        <v>868</v>
      </c>
      <c r="H443" s="358" t="s">
        <v>1586</v>
      </c>
      <c r="R443" s="358" t="s">
        <v>1586</v>
      </c>
      <c r="W443" s="253"/>
      <c r="AF443" s="296"/>
      <c r="AG443" s="358" t="s">
        <v>1586</v>
      </c>
    </row>
    <row r="444" spans="1:33" ht="20.25" customHeight="1">
      <c r="A444" s="363">
        <f t="shared" si="44"/>
        <v>277</v>
      </c>
      <c r="B444" s="365" t="s">
        <v>1118</v>
      </c>
      <c r="C444" s="362">
        <v>98.6</v>
      </c>
      <c r="D444" s="365" t="s">
        <v>868</v>
      </c>
      <c r="F444" s="252">
        <v>6570</v>
      </c>
      <c r="G444" s="252" t="s">
        <v>1425</v>
      </c>
      <c r="H444" s="296" t="s">
        <v>1566</v>
      </c>
      <c r="I444" s="252">
        <f>(C77)</f>
        <v>4318.6400000000003</v>
      </c>
      <c r="J444" s="296" t="s">
        <v>1594</v>
      </c>
      <c r="K444" s="252">
        <f>(F444*I444)/1000</f>
        <v>28373.46</v>
      </c>
      <c r="O444" s="296" t="s">
        <v>1544</v>
      </c>
      <c r="R444" s="252">
        <f>SUM(R431:R442)</f>
        <v>2474.41</v>
      </c>
      <c r="W444" s="253"/>
      <c r="AD444" s="296" t="s">
        <v>441</v>
      </c>
      <c r="AF444" s="296"/>
      <c r="AG444" s="252">
        <f>SUM(AG440:AG442)</f>
        <v>5760.34</v>
      </c>
    </row>
    <row r="445" spans="1:33" ht="20.25" customHeight="1">
      <c r="A445" s="363">
        <f t="shared" si="44"/>
        <v>278</v>
      </c>
      <c r="B445" s="365" t="s">
        <v>1120</v>
      </c>
      <c r="C445" s="362">
        <v>110.2</v>
      </c>
      <c r="D445" s="365" t="s">
        <v>868</v>
      </c>
      <c r="F445" s="252">
        <v>1.91</v>
      </c>
      <c r="G445" s="252" t="s">
        <v>869</v>
      </c>
      <c r="H445" s="296" t="s">
        <v>1307</v>
      </c>
      <c r="I445" s="252">
        <f>(K40)</f>
        <v>4031.98</v>
      </c>
      <c r="J445" s="296" t="s">
        <v>869</v>
      </c>
      <c r="K445" s="252">
        <f>(F445*I445)</f>
        <v>7701.08</v>
      </c>
      <c r="R445" s="358" t="s">
        <v>1586</v>
      </c>
      <c r="W445" s="253"/>
      <c r="AF445" s="296"/>
      <c r="AG445" s="358" t="s">
        <v>1586</v>
      </c>
    </row>
    <row r="446" spans="1:33" ht="20.25"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576.03</v>
      </c>
    </row>
    <row r="447" spans="1:33" ht="20.25"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0.25" customHeight="1">
      <c r="A448" s="363">
        <f t="shared" si="44"/>
        <v>281</v>
      </c>
      <c r="B448" s="412" t="s">
        <v>4577</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581.95000000000005</v>
      </c>
    </row>
    <row r="449" spans="1:36" ht="20.25"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593.89</v>
      </c>
    </row>
    <row r="450" spans="1:36" ht="20.25"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605.83000000000004</v>
      </c>
    </row>
    <row r="451" spans="1:36" ht="20.25"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617.77</v>
      </c>
    </row>
    <row r="452" spans="1:36" ht="20.25" customHeight="1">
      <c r="A452" s="363">
        <f t="shared" si="44"/>
        <v>285</v>
      </c>
      <c r="B452" s="365" t="s">
        <v>1118</v>
      </c>
      <c r="C452" s="362">
        <v>58.1</v>
      </c>
      <c r="D452" s="365" t="s">
        <v>868</v>
      </c>
      <c r="H452" s="296" t="s">
        <v>614</v>
      </c>
      <c r="K452" s="252">
        <f>SUM(K444:K450)</f>
        <v>58574.239999999998</v>
      </c>
      <c r="M452" s="252">
        <v>30</v>
      </c>
      <c r="N452" s="296" t="s">
        <v>1771</v>
      </c>
      <c r="O452" s="296" t="s">
        <v>2158</v>
      </c>
      <c r="P452" s="252">
        <f>(C42)</f>
        <v>5</v>
      </c>
      <c r="Q452" s="296" t="s">
        <v>1771</v>
      </c>
      <c r="R452" s="252">
        <f>(M452*P452)</f>
        <v>150</v>
      </c>
      <c r="W452" s="253"/>
      <c r="AD452" s="296" t="s">
        <v>833</v>
      </c>
      <c r="AF452" s="296">
        <f t="shared" si="47"/>
        <v>11.94</v>
      </c>
      <c r="AG452" s="274">
        <f t="shared" si="46"/>
        <v>629.71</v>
      </c>
      <c r="AJ452" s="252">
        <f>40.81*0.075</f>
        <v>3.06</v>
      </c>
    </row>
    <row r="453" spans="1:36" ht="20.25" customHeight="1">
      <c r="A453" s="363">
        <f t="shared" si="44"/>
        <v>286</v>
      </c>
      <c r="B453" s="365" t="s">
        <v>1120</v>
      </c>
      <c r="C453" s="362">
        <v>69.8</v>
      </c>
      <c r="D453" s="365" t="s">
        <v>868</v>
      </c>
      <c r="K453" s="358" t="s">
        <v>1586</v>
      </c>
      <c r="O453" s="296" t="s">
        <v>2159</v>
      </c>
      <c r="W453" s="253"/>
      <c r="AD453" s="296" t="s">
        <v>3562</v>
      </c>
      <c r="AE453" s="370">
        <f t="shared" ref="AE453:AE458" si="48">AG453</f>
        <v>641.65</v>
      </c>
      <c r="AF453" s="296">
        <f t="shared" si="47"/>
        <v>11.94</v>
      </c>
      <c r="AG453" s="274">
        <f t="shared" si="46"/>
        <v>641.65</v>
      </c>
    </row>
    <row r="454" spans="1:36" ht="20.25" customHeight="1">
      <c r="A454" s="363">
        <f t="shared" si="44"/>
        <v>287</v>
      </c>
      <c r="B454" s="365" t="s">
        <v>240</v>
      </c>
      <c r="C454" s="362">
        <v>87</v>
      </c>
      <c r="D454" s="365" t="s">
        <v>868</v>
      </c>
      <c r="H454" s="296" t="s">
        <v>773</v>
      </c>
      <c r="K454" s="252">
        <f>(K452/10)</f>
        <v>5857.42</v>
      </c>
      <c r="O454" s="296" t="s">
        <v>2160</v>
      </c>
      <c r="W454" s="253"/>
      <c r="AD454" s="296" t="s">
        <v>3563</v>
      </c>
      <c r="AE454" s="370">
        <f t="shared" si="48"/>
        <v>653.59</v>
      </c>
      <c r="AF454" s="296">
        <f t="shared" si="47"/>
        <v>11.94</v>
      </c>
      <c r="AG454" s="274">
        <f t="shared" si="46"/>
        <v>653.59</v>
      </c>
    </row>
    <row r="455" spans="1:36" ht="20.25" customHeight="1">
      <c r="A455" s="363">
        <f t="shared" si="44"/>
        <v>288</v>
      </c>
      <c r="B455" s="411" t="s">
        <v>3523</v>
      </c>
      <c r="C455" s="410">
        <v>18.600000000000001</v>
      </c>
      <c r="D455" s="411" t="s">
        <v>868</v>
      </c>
      <c r="K455" s="358" t="s">
        <v>2055</v>
      </c>
      <c r="O455" s="296" t="s">
        <v>2161</v>
      </c>
      <c r="W455" s="253"/>
      <c r="AD455" s="296" t="s">
        <v>3564</v>
      </c>
      <c r="AE455" s="370">
        <f t="shared" si="48"/>
        <v>665.53</v>
      </c>
      <c r="AF455" s="296">
        <f t="shared" si="47"/>
        <v>11.94</v>
      </c>
      <c r="AG455" s="274">
        <f t="shared" si="46"/>
        <v>665.53</v>
      </c>
    </row>
    <row r="456" spans="1:36" ht="20.25" customHeight="1">
      <c r="A456" s="363">
        <f t="shared" si="44"/>
        <v>289</v>
      </c>
      <c r="B456" s="365" t="s">
        <v>2288</v>
      </c>
      <c r="C456" s="364"/>
      <c r="D456" s="365" t="s">
        <v>975</v>
      </c>
      <c r="O456" s="296" t="s">
        <v>2164</v>
      </c>
      <c r="W456" s="253"/>
      <c r="AD456" s="296" t="s">
        <v>3586</v>
      </c>
      <c r="AE456" s="370">
        <f t="shared" si="48"/>
        <v>677.47</v>
      </c>
      <c r="AF456" s="296">
        <f t="shared" si="47"/>
        <v>11.94</v>
      </c>
      <c r="AG456" s="274">
        <f t="shared" si="46"/>
        <v>677.47</v>
      </c>
    </row>
    <row r="457" spans="1:36" ht="20.25"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689.41</v>
      </c>
      <c r="AF457" s="296">
        <f t="shared" si="47"/>
        <v>11.94</v>
      </c>
      <c r="AG457" s="274">
        <f t="shared" si="46"/>
        <v>689.41</v>
      </c>
    </row>
    <row r="458" spans="1:36" ht="20.25"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701.35</v>
      </c>
      <c r="AF458" s="296">
        <f t="shared" si="47"/>
        <v>11.94</v>
      </c>
      <c r="AG458" s="274">
        <f t="shared" si="46"/>
        <v>701.35</v>
      </c>
    </row>
    <row r="459" spans="1:36" ht="20.25" customHeight="1">
      <c r="A459" s="363">
        <f t="shared" si="44"/>
        <v>292</v>
      </c>
      <c r="B459" s="365" t="s">
        <v>1117</v>
      </c>
      <c r="C459" s="413">
        <v>789.6</v>
      </c>
      <c r="D459" s="365" t="s">
        <v>975</v>
      </c>
      <c r="F459" s="252">
        <v>0.5</v>
      </c>
      <c r="G459" s="252" t="s">
        <v>869</v>
      </c>
      <c r="H459" s="296" t="s">
        <v>2279</v>
      </c>
      <c r="I459" s="252">
        <f>(K454)</f>
        <v>5857.42</v>
      </c>
      <c r="J459" s="296" t="s">
        <v>868</v>
      </c>
      <c r="K459" s="252">
        <f>(F459*I459)</f>
        <v>2928.71</v>
      </c>
      <c r="M459" s="252">
        <v>1</v>
      </c>
      <c r="N459" s="296" t="s">
        <v>449</v>
      </c>
      <c r="O459" s="296" t="s">
        <v>1684</v>
      </c>
      <c r="P459" s="252">
        <f>(C56)</f>
        <v>12.1</v>
      </c>
      <c r="Q459" s="296" t="s">
        <v>449</v>
      </c>
      <c r="R459" s="252">
        <f>(M459*P459)</f>
        <v>12.1</v>
      </c>
      <c r="U459" s="414" t="s">
        <v>4014</v>
      </c>
      <c r="W459" s="253"/>
      <c r="Y459" s="356"/>
      <c r="AA459" s="414" t="s">
        <v>4135</v>
      </c>
      <c r="AE459" s="370">
        <f>AG459</f>
        <v>713.29</v>
      </c>
      <c r="AF459" s="296">
        <f>AF458</f>
        <v>11.94</v>
      </c>
      <c r="AG459" s="274">
        <f>AG458+AF459</f>
        <v>713.29</v>
      </c>
    </row>
    <row r="460" spans="1:36" ht="20.25" customHeight="1">
      <c r="A460" s="363">
        <f t="shared" si="44"/>
        <v>293</v>
      </c>
      <c r="B460" s="365" t="s">
        <v>4578</v>
      </c>
      <c r="C460" s="252">
        <f>AE49</f>
        <v>0</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725.23</v>
      </c>
      <c r="AF460" s="296">
        <f>AF459</f>
        <v>11.94</v>
      </c>
      <c r="AG460" s="274">
        <f>AG459+AF460</f>
        <v>725.23</v>
      </c>
    </row>
    <row r="461" spans="1:36" ht="20.25" customHeight="1">
      <c r="A461" s="363">
        <f t="shared" si="44"/>
        <v>294</v>
      </c>
      <c r="B461" s="365" t="s">
        <v>4579</v>
      </c>
      <c r="C461" s="252">
        <f>AE50</f>
        <v>0</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737.17</v>
      </c>
      <c r="AF461" s="296">
        <f>AF460</f>
        <v>11.94</v>
      </c>
      <c r="AG461" s="274">
        <f>AG460+AF461</f>
        <v>737.17</v>
      </c>
    </row>
    <row r="462" spans="1:36" ht="20.25" customHeight="1">
      <c r="A462" s="363">
        <f t="shared" si="44"/>
        <v>295</v>
      </c>
      <c r="B462" s="365" t="s">
        <v>1081</v>
      </c>
      <c r="C462" s="387">
        <v>350</v>
      </c>
      <c r="D462" s="387">
        <v>375</v>
      </c>
      <c r="K462" s="358" t="s">
        <v>1586</v>
      </c>
      <c r="O462" s="296" t="s">
        <v>1544</v>
      </c>
      <c r="R462" s="252">
        <f>SUM(R450:R460)</f>
        <v>2475.61</v>
      </c>
      <c r="S462" s="252"/>
      <c r="U462" s="296" t="s">
        <v>4007</v>
      </c>
      <c r="W462" s="253"/>
      <c r="AA462" s="296" t="s">
        <v>4007</v>
      </c>
      <c r="AC462" s="296"/>
      <c r="AE462" s="370">
        <f t="shared" si="49"/>
        <v>749.11</v>
      </c>
      <c r="AF462" s="296">
        <f>AF461</f>
        <v>11.94</v>
      </c>
      <c r="AG462" s="274">
        <f>AG461+AF462</f>
        <v>749.11</v>
      </c>
    </row>
    <row r="463" spans="1:36" ht="20.25" customHeight="1">
      <c r="A463" s="363">
        <f t="shared" si="44"/>
        <v>296</v>
      </c>
      <c r="B463" s="365" t="s">
        <v>2096</v>
      </c>
      <c r="C463" s="387">
        <v>400</v>
      </c>
      <c r="D463" s="387">
        <v>425</v>
      </c>
      <c r="H463" s="296" t="s">
        <v>441</v>
      </c>
      <c r="K463" s="252">
        <f>SUM(K459:K461)</f>
        <v>3927.71</v>
      </c>
      <c r="R463" s="358" t="s">
        <v>1586</v>
      </c>
      <c r="S463" s="252"/>
      <c r="U463" s="358" t="s">
        <v>1586</v>
      </c>
      <c r="W463" s="253"/>
      <c r="AA463" s="358" t="s">
        <v>1586</v>
      </c>
      <c r="AC463" s="296"/>
      <c r="AE463" s="370">
        <f t="shared" si="49"/>
        <v>761.05</v>
      </c>
      <c r="AF463" s="296">
        <f>AF462</f>
        <v>11.94</v>
      </c>
      <c r="AG463" s="274">
        <f>AG462+AF463</f>
        <v>761.05</v>
      </c>
    </row>
    <row r="464" spans="1:36" ht="20.25" customHeight="1">
      <c r="A464" s="363">
        <f t="shared" si="44"/>
        <v>297</v>
      </c>
      <c r="B464" s="365" t="s">
        <v>1058</v>
      </c>
      <c r="C464" s="387">
        <v>450</v>
      </c>
      <c r="D464" s="387">
        <v>500</v>
      </c>
      <c r="K464" s="358" t="s">
        <v>1586</v>
      </c>
      <c r="O464" s="296" t="s">
        <v>1545</v>
      </c>
      <c r="R464" s="252">
        <f>(R462/30)</f>
        <v>82.52</v>
      </c>
      <c r="S464" s="252">
        <v>0.01</v>
      </c>
      <c r="T464" s="252" t="s">
        <v>869</v>
      </c>
      <c r="U464" s="389" t="s">
        <v>4015</v>
      </c>
      <c r="V464" s="252">
        <f>Z718</f>
        <v>7917.08</v>
      </c>
      <c r="W464" s="253" t="s">
        <v>869</v>
      </c>
      <c r="X464" s="252">
        <f>(S464*V464)</f>
        <v>79.17</v>
      </c>
      <c r="Y464" s="252">
        <v>0.01</v>
      </c>
      <c r="Z464" s="252" t="s">
        <v>869</v>
      </c>
      <c r="AA464" s="389" t="s">
        <v>4136</v>
      </c>
      <c r="AB464" s="252">
        <f>Y688</f>
        <v>8461.35</v>
      </c>
      <c r="AC464" s="296" t="s">
        <v>869</v>
      </c>
      <c r="AD464" s="252">
        <f>(Y464*AB464)</f>
        <v>84.61</v>
      </c>
      <c r="AE464" s="370" t="str">
        <f t="shared" si="49"/>
        <v>|</v>
      </c>
      <c r="AG464" s="296" t="s">
        <v>2259</v>
      </c>
    </row>
    <row r="465" spans="1:33" ht="20.25" customHeight="1">
      <c r="A465" s="363">
        <f t="shared" si="44"/>
        <v>298</v>
      </c>
      <c r="B465" s="365" t="s">
        <v>1953</v>
      </c>
      <c r="C465" s="387">
        <v>77.819999999999993</v>
      </c>
      <c r="D465" s="365" t="s">
        <v>868</v>
      </c>
      <c r="H465" s="296" t="s">
        <v>552</v>
      </c>
      <c r="K465" s="252">
        <f>(K463/10)</f>
        <v>392.77</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0.25"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0.25" customHeight="1">
      <c r="A467" s="363">
        <f t="shared" si="44"/>
        <v>300</v>
      </c>
      <c r="B467" s="365" t="s">
        <v>1117</v>
      </c>
      <c r="C467" s="387">
        <v>165</v>
      </c>
      <c r="D467" s="365" t="s">
        <v>868</v>
      </c>
      <c r="H467" s="296" t="s">
        <v>386</v>
      </c>
      <c r="K467" s="274">
        <f>(K465+C19/10*F459)</f>
        <v>396.72</v>
      </c>
      <c r="O467" s="358" t="s">
        <v>1586</v>
      </c>
      <c r="S467" s="252"/>
      <c r="W467" s="253"/>
      <c r="X467" s="358" t="s">
        <v>1586</v>
      </c>
      <c r="AC467" s="296"/>
      <c r="AD467" s="358" t="s">
        <v>1586</v>
      </c>
      <c r="AE467" s="370" t="str">
        <f t="shared" si="49"/>
        <v>|</v>
      </c>
      <c r="AG467" s="296" t="s">
        <v>2259</v>
      </c>
    </row>
    <row r="468" spans="1:33" ht="20.25" customHeight="1">
      <c r="A468" s="363">
        <f t="shared" si="44"/>
        <v>301</v>
      </c>
      <c r="B468" s="365" t="s">
        <v>1118</v>
      </c>
      <c r="C468" s="387">
        <v>258</v>
      </c>
      <c r="D468" s="365" t="s">
        <v>868</v>
      </c>
      <c r="H468" s="296" t="s">
        <v>388</v>
      </c>
      <c r="K468" s="274">
        <f>(K467+C20/10*F459)</f>
        <v>404.68</v>
      </c>
      <c r="M468" s="252">
        <v>8.1</v>
      </c>
      <c r="N468" s="296" t="s">
        <v>869</v>
      </c>
      <c r="O468" s="296" t="s">
        <v>617</v>
      </c>
      <c r="P468" s="252">
        <f>(C61)*2</f>
        <v>224.1</v>
      </c>
      <c r="Q468" s="296" t="s">
        <v>869</v>
      </c>
      <c r="R468" s="252">
        <f>(M468*P468)</f>
        <v>1815.21</v>
      </c>
      <c r="S468" s="252"/>
      <c r="U468" s="296" t="s">
        <v>1486</v>
      </c>
      <c r="W468" s="253"/>
      <c r="X468" s="252">
        <f>SUM(X464:X466)</f>
        <v>80.319999999999993</v>
      </c>
      <c r="AA468" s="296" t="s">
        <v>1486</v>
      </c>
      <c r="AC468" s="296"/>
      <c r="AD468" s="252">
        <f>SUM(AD464:AD466)</f>
        <v>85.76</v>
      </c>
      <c r="AE468" s="370" t="str">
        <f t="shared" si="49"/>
        <v>|</v>
      </c>
      <c r="AG468" s="296" t="s">
        <v>2259</v>
      </c>
    </row>
    <row r="469" spans="1:33" ht="20.25" customHeight="1">
      <c r="A469" s="363">
        <f t="shared" si="44"/>
        <v>302</v>
      </c>
      <c r="B469" s="365" t="s">
        <v>1120</v>
      </c>
      <c r="C469" s="387">
        <v>298</v>
      </c>
      <c r="D469" s="365" t="s">
        <v>868</v>
      </c>
      <c r="H469" s="296" t="s">
        <v>2232</v>
      </c>
      <c r="K469" s="274">
        <f>(K468+C21/10*F459)</f>
        <v>412.64</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0.25" customHeight="1">
      <c r="A470" s="363">
        <f t="shared" si="44"/>
        <v>303</v>
      </c>
      <c r="B470" s="365" t="s">
        <v>240</v>
      </c>
      <c r="C470" s="387">
        <v>398</v>
      </c>
      <c r="D470" s="365" t="s">
        <v>868</v>
      </c>
      <c r="H470" s="296" t="s">
        <v>380</v>
      </c>
      <c r="K470" s="274">
        <f>(K469+C21/10*F459)</f>
        <v>420.6</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8032</v>
      </c>
      <c r="AA470" s="296" t="s">
        <v>773</v>
      </c>
      <c r="AC470" s="296"/>
      <c r="AD470" s="252">
        <f>ROUND(AD468*100,0)</f>
        <v>8576</v>
      </c>
      <c r="AE470" s="370" t="str">
        <f t="shared" si="49"/>
        <v>|</v>
      </c>
      <c r="AG470" s="296" t="s">
        <v>2259</v>
      </c>
    </row>
    <row r="471" spans="1:33" ht="20.25" customHeight="1">
      <c r="A471" s="363">
        <f t="shared" si="44"/>
        <v>304</v>
      </c>
      <c r="B471" s="365" t="s">
        <v>1121</v>
      </c>
      <c r="C471" s="387"/>
      <c r="D471" s="365" t="s">
        <v>868</v>
      </c>
      <c r="H471" s="296" t="s">
        <v>1532</v>
      </c>
      <c r="K471" s="274">
        <f>(K470+C21/10*F459)</f>
        <v>428.56</v>
      </c>
      <c r="L471" s="252">
        <f t="shared" si="50"/>
        <v>7.96</v>
      </c>
      <c r="O471" s="296" t="s">
        <v>2159</v>
      </c>
      <c r="S471" s="296" t="s">
        <v>975</v>
      </c>
      <c r="W471" s="253"/>
      <c r="Y471" s="296" t="s">
        <v>975</v>
      </c>
      <c r="AC471" s="296"/>
      <c r="AE471" s="370" t="str">
        <f t="shared" si="49"/>
        <v>|</v>
      </c>
      <c r="AG471" s="296" t="s">
        <v>2259</v>
      </c>
    </row>
    <row r="472" spans="1:33" ht="20.25" customHeight="1">
      <c r="A472" s="363"/>
      <c r="B472" s="365"/>
      <c r="C472" s="364"/>
      <c r="D472" s="365"/>
      <c r="H472" s="296">
        <v>5</v>
      </c>
      <c r="K472" s="274">
        <f>(K471+C21/10*F459)</f>
        <v>436.52</v>
      </c>
      <c r="L472" s="252">
        <f t="shared" si="50"/>
        <v>7.96</v>
      </c>
      <c r="O472" s="296"/>
      <c r="S472" s="252"/>
      <c r="W472" s="253"/>
      <c r="X472" s="358" t="s">
        <v>2055</v>
      </c>
      <c r="AC472" s="296"/>
      <c r="AD472" s="358" t="s">
        <v>2055</v>
      </c>
      <c r="AE472" s="370"/>
      <c r="AG472" s="296"/>
    </row>
    <row r="473" spans="1:33" ht="20.25" customHeight="1">
      <c r="A473" s="363"/>
      <c r="B473" s="365"/>
      <c r="C473" s="364"/>
      <c r="D473" s="365"/>
      <c r="H473" s="296">
        <v>6</v>
      </c>
      <c r="K473" s="274">
        <f>(K472+C21/10*F459)</f>
        <v>444.48</v>
      </c>
      <c r="L473" s="252">
        <f t="shared" si="50"/>
        <v>7.96</v>
      </c>
      <c r="O473" s="296"/>
      <c r="S473" s="252"/>
      <c r="T473" s="252" t="s">
        <v>675</v>
      </c>
      <c r="U473" s="296" t="s">
        <v>990</v>
      </c>
      <c r="W473" s="253"/>
      <c r="Z473" s="252" t="s">
        <v>675</v>
      </c>
      <c r="AA473" s="296" t="s">
        <v>990</v>
      </c>
      <c r="AC473" s="296"/>
      <c r="AE473" s="370"/>
      <c r="AG473" s="296"/>
    </row>
    <row r="474" spans="1:33" ht="20.25" customHeight="1">
      <c r="A474" s="363"/>
      <c r="B474" s="365"/>
      <c r="C474" s="364"/>
      <c r="D474" s="365"/>
      <c r="H474" s="296">
        <v>7</v>
      </c>
      <c r="K474" s="274">
        <f>(K473+C21/10*F459)</f>
        <v>452.44</v>
      </c>
      <c r="L474" s="252">
        <f t="shared" si="50"/>
        <v>7.96</v>
      </c>
      <c r="O474" s="296"/>
      <c r="S474" s="252"/>
      <c r="U474" s="296" t="s">
        <v>1653</v>
      </c>
      <c r="W474" s="253"/>
      <c r="AA474" s="296" t="s">
        <v>1653</v>
      </c>
      <c r="AC474" s="296"/>
      <c r="AE474" s="370"/>
      <c r="AG474" s="296"/>
    </row>
    <row r="475" spans="1:33" ht="20.25" customHeight="1">
      <c r="A475" s="363"/>
      <c r="B475" s="365"/>
      <c r="C475" s="364"/>
      <c r="D475" s="365"/>
      <c r="H475" s="296">
        <v>8</v>
      </c>
      <c r="K475" s="274">
        <f>(K474+C21/10*F459)</f>
        <v>460.4</v>
      </c>
      <c r="L475" s="252">
        <f t="shared" si="50"/>
        <v>7.96</v>
      </c>
      <c r="O475" s="296"/>
      <c r="S475" s="252"/>
      <c r="U475" s="358" t="s">
        <v>1586</v>
      </c>
      <c r="W475" s="253"/>
      <c r="AA475" s="358" t="s">
        <v>1586</v>
      </c>
      <c r="AC475" s="296"/>
      <c r="AE475" s="370"/>
      <c r="AG475" s="296"/>
    </row>
    <row r="476" spans="1:33" ht="20.25" customHeight="1">
      <c r="A476" s="363"/>
      <c r="B476" s="365"/>
      <c r="C476" s="364"/>
      <c r="D476" s="365"/>
      <c r="H476" s="296">
        <v>9</v>
      </c>
      <c r="K476" s="274">
        <f>(K475+C21/10*F459)</f>
        <v>468.36</v>
      </c>
      <c r="L476" s="252">
        <f t="shared" si="50"/>
        <v>7.96</v>
      </c>
      <c r="O476" s="296"/>
      <c r="S476" s="356">
        <v>1.4E-2</v>
      </c>
      <c r="T476" s="252" t="s">
        <v>869</v>
      </c>
      <c r="U476" s="296" t="s">
        <v>1325</v>
      </c>
      <c r="V476" s="252">
        <f>X470</f>
        <v>8032</v>
      </c>
      <c r="W476" s="253" t="s">
        <v>869</v>
      </c>
      <c r="X476" s="252">
        <f>(S476*V476)</f>
        <v>112.45</v>
      </c>
      <c r="Y476" s="356">
        <v>1.4E-2</v>
      </c>
      <c r="Z476" s="252" t="s">
        <v>869</v>
      </c>
      <c r="AA476" s="296" t="s">
        <v>1325</v>
      </c>
      <c r="AB476" s="252">
        <f>AD470</f>
        <v>8576</v>
      </c>
      <c r="AC476" s="296" t="s">
        <v>869</v>
      </c>
      <c r="AD476" s="252">
        <f>(Y476*AB476)</f>
        <v>120.06</v>
      </c>
      <c r="AE476" s="370"/>
      <c r="AG476" s="296"/>
    </row>
    <row r="477" spans="1:33" ht="20.25" customHeight="1">
      <c r="A477" s="363"/>
      <c r="B477" s="365"/>
      <c r="C477" s="364"/>
      <c r="D477" s="365"/>
      <c r="H477" s="296">
        <v>10</v>
      </c>
      <c r="K477" s="274">
        <f>(K476+C21/10*F459)</f>
        <v>476.32</v>
      </c>
      <c r="L477" s="252">
        <f>K477-K476</f>
        <v>7.96</v>
      </c>
      <c r="O477" s="296"/>
      <c r="U477" s="296" t="s">
        <v>1774</v>
      </c>
      <c r="W477" s="253"/>
      <c r="X477" s="296" t="s">
        <v>975</v>
      </c>
      <c r="Y477" s="356"/>
      <c r="AA477" s="296" t="s">
        <v>1774</v>
      </c>
      <c r="AC477" s="296"/>
      <c r="AD477" s="296" t="s">
        <v>975</v>
      </c>
      <c r="AE477" s="370"/>
      <c r="AG477" s="296"/>
    </row>
    <row r="478" spans="1:33" ht="20.25" customHeight="1">
      <c r="A478" s="363"/>
      <c r="B478" s="365"/>
      <c r="C478" s="364"/>
      <c r="D478" s="365"/>
      <c r="H478" s="296"/>
      <c r="K478" s="274">
        <f>(K477+C21/10*F459)</f>
        <v>484.28</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20.25" customHeight="1">
      <c r="A479" s="363">
        <f>(A471+1)</f>
        <v>305</v>
      </c>
      <c r="B479" s="412" t="s">
        <v>5847</v>
      </c>
      <c r="C479" s="364"/>
      <c r="D479" s="365" t="s">
        <v>868</v>
      </c>
      <c r="F479" s="253" t="s">
        <v>1957</v>
      </c>
      <c r="G479" s="252" t="s">
        <v>2251</v>
      </c>
      <c r="H479" s="296" t="s">
        <v>1958</v>
      </c>
      <c r="K479" s="274">
        <f>(K478+C21/10*F459)</f>
        <v>492.24</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2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20.2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0.25" customHeight="1">
      <c r="A482" s="363">
        <f t="shared" si="44"/>
        <v>308</v>
      </c>
      <c r="B482" s="365" t="s">
        <v>1117</v>
      </c>
      <c r="C482" s="362">
        <v>592</v>
      </c>
      <c r="D482" s="365" t="s">
        <v>868</v>
      </c>
      <c r="F482" s="252">
        <v>1</v>
      </c>
      <c r="G482" s="252" t="s">
        <v>869</v>
      </c>
      <c r="H482" s="296" t="s">
        <v>6022</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1100.2</v>
      </c>
      <c r="AA482" s="296" t="s">
        <v>102</v>
      </c>
      <c r="AC482" s="296"/>
      <c r="AD482" s="252">
        <f>SUM(AD476:AD480)</f>
        <v>1107.81</v>
      </c>
      <c r="AE482" s="370" t="str">
        <f t="shared" si="49"/>
        <v>|</v>
      </c>
      <c r="AG482" s="296" t="s">
        <v>2259</v>
      </c>
    </row>
    <row r="483" spans="1:33" ht="20.25"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0.25"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2957.53</v>
      </c>
      <c r="AA484" s="296" t="s">
        <v>552</v>
      </c>
      <c r="AC484" s="296"/>
      <c r="AD484" s="252">
        <f>(AD482/0.372)</f>
        <v>2977.98</v>
      </c>
      <c r="AE484" s="370" t="str">
        <f t="shared" si="49"/>
        <v>|</v>
      </c>
      <c r="AG484" s="296" t="s">
        <v>2259</v>
      </c>
    </row>
    <row r="485" spans="1:33" ht="20.25"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0.25" customHeight="1">
      <c r="A486" s="363">
        <f t="shared" si="44"/>
        <v>312</v>
      </c>
      <c r="B486" s="365" t="s">
        <v>1121</v>
      </c>
      <c r="C486" s="362">
        <v>1523</v>
      </c>
      <c r="D486" s="365" t="s">
        <v>868</v>
      </c>
      <c r="F486" s="296" t="s">
        <v>975</v>
      </c>
      <c r="H486" s="358" t="s">
        <v>2299</v>
      </c>
      <c r="R486" s="358" t="s">
        <v>1586</v>
      </c>
      <c r="S486" s="252"/>
      <c r="U486" s="296" t="s">
        <v>386</v>
      </c>
      <c r="V486" s="252">
        <f>X484</f>
        <v>2957.53</v>
      </c>
      <c r="W486" s="253">
        <f>J659</f>
        <v>4.51</v>
      </c>
      <c r="X486" s="274">
        <f>V486+W486</f>
        <v>2962.04</v>
      </c>
      <c r="AA486" s="296" t="s">
        <v>386</v>
      </c>
      <c r="AB486" s="252">
        <f>AD484</f>
        <v>2977.98</v>
      </c>
      <c r="AC486" s="296">
        <f>W486</f>
        <v>4.51</v>
      </c>
      <c r="AD486" s="274">
        <f>AB486+AC486</f>
        <v>2982.49</v>
      </c>
      <c r="AE486" s="370" t="str">
        <f t="shared" si="49"/>
        <v>|</v>
      </c>
      <c r="AG486" s="296" t="s">
        <v>2259</v>
      </c>
    </row>
    <row r="487" spans="1:33" ht="20.25" customHeight="1">
      <c r="A487" s="363">
        <f t="shared" si="44"/>
        <v>313</v>
      </c>
      <c r="B487" s="412" t="s">
        <v>5848</v>
      </c>
      <c r="C487" s="364"/>
      <c r="D487" s="365"/>
      <c r="F487" s="252">
        <v>0.13</v>
      </c>
      <c r="G487" s="252" t="s">
        <v>869</v>
      </c>
      <c r="H487" s="296" t="s">
        <v>1307</v>
      </c>
      <c r="I487" s="252">
        <f>(K40)</f>
        <v>4031.98</v>
      </c>
      <c r="J487" s="296" t="s">
        <v>869</v>
      </c>
      <c r="K487" s="252">
        <f t="shared" ref="K487:K492" si="51">(F487*I487)</f>
        <v>524.16</v>
      </c>
      <c r="O487" s="296" t="s">
        <v>1544</v>
      </c>
      <c r="R487" s="252">
        <f>SUM(R468:R485)</f>
        <v>2606.81</v>
      </c>
      <c r="S487" s="252"/>
      <c r="U487" s="296" t="s">
        <v>388</v>
      </c>
      <c r="V487" s="252">
        <f>X486</f>
        <v>2962.04</v>
      </c>
      <c r="W487" s="253">
        <f>J662</f>
        <v>8.89</v>
      </c>
      <c r="X487" s="274">
        <f>V487+W487</f>
        <v>2970.93</v>
      </c>
      <c r="AA487" s="296" t="s">
        <v>388</v>
      </c>
      <c r="AB487" s="252">
        <f>AD486</f>
        <v>2982.49</v>
      </c>
      <c r="AC487" s="296">
        <f>W487</f>
        <v>8.89</v>
      </c>
      <c r="AD487" s="274">
        <f>AB487+AC487</f>
        <v>2991.38</v>
      </c>
      <c r="AE487" s="370" t="str">
        <f t="shared" si="49"/>
        <v>|</v>
      </c>
      <c r="AG487" s="296" t="s">
        <v>2259</v>
      </c>
    </row>
    <row r="488" spans="1:33" ht="20.25"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2970.93</v>
      </c>
      <c r="W488" s="253">
        <f>J663</f>
        <v>8.89</v>
      </c>
      <c r="X488" s="274">
        <f>V488+W488</f>
        <v>2979.82</v>
      </c>
      <c r="AA488" s="296" t="s">
        <v>2232</v>
      </c>
      <c r="AB488" s="252">
        <f>AD487</f>
        <v>2991.38</v>
      </c>
      <c r="AC488" s="296">
        <f>W488</f>
        <v>8.89</v>
      </c>
      <c r="AD488" s="274">
        <f>AB488+AC488</f>
        <v>3000.27</v>
      </c>
      <c r="AE488" s="370" t="str">
        <f t="shared" si="49"/>
        <v>|</v>
      </c>
      <c r="AG488" s="296" t="s">
        <v>2259</v>
      </c>
    </row>
    <row r="489" spans="1:33" ht="20.2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2979.82</v>
      </c>
      <c r="W489" s="253">
        <f>J664</f>
        <v>8.89</v>
      </c>
      <c r="X489" s="274">
        <f>V489+W489</f>
        <v>2988.71</v>
      </c>
      <c r="AA489" s="296" t="s">
        <v>380</v>
      </c>
      <c r="AB489" s="252">
        <f>AD488</f>
        <v>3000.27</v>
      </c>
      <c r="AC489" s="296">
        <f>W489</f>
        <v>8.89</v>
      </c>
      <c r="AD489" s="274">
        <f>AB489+AC489</f>
        <v>3009.16</v>
      </c>
      <c r="AE489" s="370" t="str">
        <f t="shared" si="49"/>
        <v>|</v>
      </c>
      <c r="AG489" s="296" t="s">
        <v>2259</v>
      </c>
    </row>
    <row r="490" spans="1:33" ht="20.25"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2988.71</v>
      </c>
      <c r="W490" s="253">
        <f>J665</f>
        <v>8.89</v>
      </c>
      <c r="X490" s="274">
        <f>V490+W490</f>
        <v>2997.6</v>
      </c>
      <c r="AA490" s="296" t="s">
        <v>1364</v>
      </c>
      <c r="AB490" s="252">
        <f>AD489</f>
        <v>3009.16</v>
      </c>
      <c r="AC490" s="296">
        <f>W490</f>
        <v>8.89</v>
      </c>
      <c r="AD490" s="274">
        <f>AB490+AC490</f>
        <v>3018.05</v>
      </c>
      <c r="AE490" s="370" t="str">
        <f t="shared" si="49"/>
        <v>|</v>
      </c>
      <c r="AG490" s="296" t="s">
        <v>2259</v>
      </c>
    </row>
    <row r="491" spans="1:33" ht="20.25"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3026.94</v>
      </c>
      <c r="AE491" s="370" t="str">
        <f t="shared" si="49"/>
        <v>|</v>
      </c>
      <c r="AG491" s="296" t="s">
        <v>2259</v>
      </c>
    </row>
    <row r="492" spans="1:33" ht="20.25"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3035.83</v>
      </c>
      <c r="AE492" s="370" t="str">
        <f t="shared" si="49"/>
        <v>|</v>
      </c>
      <c r="AG492" s="296" t="s">
        <v>2259</v>
      </c>
    </row>
    <row r="493" spans="1:33" ht="20.25"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3044.72</v>
      </c>
      <c r="AE493" s="370" t="str">
        <f t="shared" si="49"/>
        <v>|</v>
      </c>
      <c r="AG493" s="296" t="s">
        <v>2259</v>
      </c>
    </row>
    <row r="494" spans="1:33" ht="20.25"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3053.61</v>
      </c>
      <c r="AE494" s="370" t="str">
        <f t="shared" si="49"/>
        <v>|</v>
      </c>
      <c r="AG494" s="296" t="s">
        <v>2259</v>
      </c>
    </row>
    <row r="495" spans="1:33" ht="20.25" customHeight="1">
      <c r="A495" s="363">
        <f>(A494+1)</f>
        <v>321</v>
      </c>
      <c r="B495" s="412" t="s">
        <v>5849</v>
      </c>
      <c r="C495" s="364"/>
      <c r="D495" s="365" t="s">
        <v>868</v>
      </c>
      <c r="H495" s="296" t="s">
        <v>441</v>
      </c>
      <c r="K495" s="252">
        <f>SUM(K486:K493)</f>
        <v>3159.5</v>
      </c>
      <c r="O495" s="358" t="s">
        <v>1586</v>
      </c>
      <c r="W495" s="253"/>
      <c r="Y495" s="356"/>
      <c r="AA495" s="296" t="s">
        <v>3584</v>
      </c>
      <c r="AC495" s="296">
        <f t="shared" si="53"/>
        <v>8.89</v>
      </c>
      <c r="AD495" s="274">
        <f t="shared" si="54"/>
        <v>3062.5</v>
      </c>
      <c r="AE495" s="370" t="str">
        <f t="shared" si="49"/>
        <v>|</v>
      </c>
      <c r="AG495" s="296" t="s">
        <v>2259</v>
      </c>
    </row>
    <row r="496" spans="1:33" ht="20.25" customHeight="1">
      <c r="A496" s="363">
        <f>(A495+1)</f>
        <v>322</v>
      </c>
      <c r="B496" s="365" t="s">
        <v>4254</v>
      </c>
      <c r="C496" s="362">
        <v>20.3</v>
      </c>
      <c r="D496" s="365" t="s">
        <v>868</v>
      </c>
      <c r="K496" s="358" t="s">
        <v>1586</v>
      </c>
      <c r="N496" s="296" t="s">
        <v>154</v>
      </c>
      <c r="O496" s="253" t="s">
        <v>953</v>
      </c>
      <c r="W496" s="253"/>
      <c r="Y496" s="356"/>
      <c r="AA496" s="296" t="s">
        <v>3585</v>
      </c>
      <c r="AC496" s="296">
        <f t="shared" si="53"/>
        <v>8.89</v>
      </c>
      <c r="AD496" s="274">
        <f t="shared" si="54"/>
        <v>3071.39</v>
      </c>
      <c r="AE496" s="370" t="str">
        <f t="shared" si="49"/>
        <v>|</v>
      </c>
      <c r="AG496" s="296" t="s">
        <v>2259</v>
      </c>
    </row>
    <row r="497" spans="1:33" ht="20.25" customHeight="1">
      <c r="A497" s="363">
        <f>(A496+1)</f>
        <v>323</v>
      </c>
      <c r="B497" s="365" t="s">
        <v>744</v>
      </c>
      <c r="C497" s="387">
        <v>11.5</v>
      </c>
      <c r="D497" s="365" t="s">
        <v>868</v>
      </c>
      <c r="H497" s="255" t="s">
        <v>552</v>
      </c>
      <c r="K497" s="274">
        <f>(K495/10)</f>
        <v>315.95</v>
      </c>
      <c r="O497" s="358" t="s">
        <v>1586</v>
      </c>
      <c r="W497" s="253"/>
      <c r="Y497" s="356"/>
      <c r="AA497" s="296" t="s">
        <v>4622</v>
      </c>
      <c r="AC497" s="296">
        <f t="shared" si="53"/>
        <v>8.89</v>
      </c>
      <c r="AD497" s="274">
        <f t="shared" si="54"/>
        <v>3080.28</v>
      </c>
      <c r="AE497" s="370" t="str">
        <f t="shared" si="49"/>
        <v>|</v>
      </c>
      <c r="AG497" s="296" t="s">
        <v>2259</v>
      </c>
    </row>
    <row r="498" spans="1:33" ht="20.25" customHeight="1">
      <c r="A498" s="364"/>
      <c r="B498" s="364"/>
      <c r="C498" s="364"/>
      <c r="D498" s="364"/>
      <c r="F498" s="296" t="s">
        <v>975</v>
      </c>
      <c r="W498" s="253"/>
      <c r="AD498" s="274">
        <f>AD497+AC497</f>
        <v>3089.17</v>
      </c>
      <c r="AE498" s="370" t="str">
        <f t="shared" si="49"/>
        <v>|</v>
      </c>
      <c r="AG498" s="296" t="s">
        <v>2259</v>
      </c>
    </row>
    <row r="499" spans="1:33" ht="20.25" customHeight="1">
      <c r="A499" s="363">
        <f>(A497+1)</f>
        <v>324</v>
      </c>
      <c r="B499" s="365" t="s">
        <v>4255</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0.25"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0.25"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20.25" customHeight="1">
      <c r="A502" s="363">
        <f t="shared" si="55"/>
        <v>327</v>
      </c>
      <c r="B502" s="412" t="s">
        <v>5850</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0.25" customHeight="1">
      <c r="A503" s="363">
        <f t="shared" si="55"/>
        <v>328</v>
      </c>
      <c r="B503" s="365" t="s">
        <v>952</v>
      </c>
      <c r="C503" s="362">
        <v>69.8</v>
      </c>
      <c r="D503" s="365" t="s">
        <v>868</v>
      </c>
      <c r="F503" s="252">
        <v>9</v>
      </c>
      <c r="G503" s="252" t="s">
        <v>869</v>
      </c>
      <c r="H503" s="296" t="s">
        <v>1670</v>
      </c>
      <c r="I503" s="252">
        <f>(C70)</f>
        <v>1092.6099999999999</v>
      </c>
      <c r="J503" s="296" t="s">
        <v>869</v>
      </c>
      <c r="K503" s="252">
        <f t="shared" ref="K503:K508" si="57">(F503*I503)</f>
        <v>9833.49</v>
      </c>
      <c r="M503" s="252">
        <v>3</v>
      </c>
      <c r="N503" s="296" t="s">
        <v>868</v>
      </c>
      <c r="O503" s="296" t="s">
        <v>1845</v>
      </c>
      <c r="P503" s="252">
        <f>(C41)</f>
        <v>738</v>
      </c>
      <c r="Q503" s="296" t="s">
        <v>868</v>
      </c>
      <c r="R503" s="252">
        <f t="shared" si="56"/>
        <v>2214</v>
      </c>
      <c r="W503" s="253"/>
      <c r="AE503" s="370" t="str">
        <f t="shared" si="49"/>
        <v>|</v>
      </c>
      <c r="AG503" s="296" t="s">
        <v>2259</v>
      </c>
    </row>
    <row r="504" spans="1:33" ht="20.25"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0.25" customHeight="1">
      <c r="A505" s="363">
        <f t="shared" si="55"/>
        <v>330</v>
      </c>
      <c r="B505" s="365" t="s">
        <v>1663</v>
      </c>
      <c r="C505" s="362">
        <v>75.3</v>
      </c>
      <c r="D505" s="365" t="s">
        <v>868</v>
      </c>
      <c r="F505" s="252">
        <v>4.5</v>
      </c>
      <c r="G505" s="252" t="s">
        <v>869</v>
      </c>
      <c r="H505" s="296" t="s">
        <v>870</v>
      </c>
      <c r="I505" s="252">
        <f>(C78)</f>
        <v>1741.58</v>
      </c>
      <c r="J505" s="296" t="s">
        <v>869</v>
      </c>
      <c r="K505" s="252">
        <f t="shared" si="57"/>
        <v>7837.11</v>
      </c>
      <c r="M505" s="252">
        <v>2</v>
      </c>
      <c r="N505" s="296" t="s">
        <v>868</v>
      </c>
      <c r="O505" s="296" t="s">
        <v>1902</v>
      </c>
      <c r="P505" s="252">
        <f>(C12)</f>
        <v>651</v>
      </c>
      <c r="Q505" s="296" t="s">
        <v>868</v>
      </c>
      <c r="R505" s="252">
        <f t="shared" si="56"/>
        <v>1302</v>
      </c>
      <c r="W505" s="253"/>
      <c r="AE505" s="370" t="str">
        <f t="shared" si="49"/>
        <v>|</v>
      </c>
      <c r="AG505" s="296" t="s">
        <v>2259</v>
      </c>
    </row>
    <row r="506" spans="1:33" ht="20.25"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0.25"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0.25" customHeight="1">
      <c r="A508" s="363">
        <f t="shared" si="55"/>
        <v>333</v>
      </c>
      <c r="B508" s="412" t="s">
        <v>5851</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0.25"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0.25" customHeight="1">
      <c r="A510" s="363">
        <f t="shared" si="55"/>
        <v>335</v>
      </c>
      <c r="B510" s="365" t="s">
        <v>744</v>
      </c>
      <c r="C510" s="415">
        <v>47</v>
      </c>
      <c r="D510" s="365" t="s">
        <v>868</v>
      </c>
      <c r="K510" s="358" t="s">
        <v>1586</v>
      </c>
      <c r="R510" s="358" t="s">
        <v>1586</v>
      </c>
      <c r="W510" s="253"/>
      <c r="AE510" s="370" t="str">
        <f t="shared" si="49"/>
        <v>|</v>
      </c>
      <c r="AG510" s="296" t="s">
        <v>2259</v>
      </c>
    </row>
    <row r="511" spans="1:33" ht="20.25" customHeight="1">
      <c r="A511" s="363">
        <f t="shared" si="55"/>
        <v>336</v>
      </c>
      <c r="B511" s="365" t="s">
        <v>1663</v>
      </c>
      <c r="C511" s="362">
        <v>52</v>
      </c>
      <c r="D511" s="365" t="s">
        <v>868</v>
      </c>
      <c r="H511" s="296" t="s">
        <v>2171</v>
      </c>
      <c r="K511" s="252">
        <f>SUM(K503:K509)</f>
        <v>73099.240000000005</v>
      </c>
      <c r="O511" s="296" t="s">
        <v>1850</v>
      </c>
      <c r="R511" s="252">
        <f>SUM(R499:R509)</f>
        <v>5392.7</v>
      </c>
      <c r="W511" s="253"/>
      <c r="AE511" s="370" t="str">
        <f t="shared" si="49"/>
        <v>|</v>
      </c>
      <c r="AG511" s="296" t="s">
        <v>2259</v>
      </c>
    </row>
    <row r="512" spans="1:33" ht="20.25" customHeight="1">
      <c r="A512" s="363">
        <f t="shared" si="55"/>
        <v>337</v>
      </c>
      <c r="B512" s="365" t="s">
        <v>1851</v>
      </c>
      <c r="C512" s="387">
        <v>36.61</v>
      </c>
      <c r="D512" s="365" t="s">
        <v>868</v>
      </c>
      <c r="K512" s="358" t="s">
        <v>1586</v>
      </c>
      <c r="R512" s="358" t="s">
        <v>1586</v>
      </c>
      <c r="W512" s="253"/>
      <c r="AE512" s="370" t="str">
        <f t="shared" si="49"/>
        <v>|</v>
      </c>
      <c r="AG512" s="296" t="s">
        <v>2259</v>
      </c>
    </row>
    <row r="513" spans="1:37" ht="20.25" customHeight="1">
      <c r="A513" s="363">
        <f t="shared" si="55"/>
        <v>338</v>
      </c>
      <c r="B513" s="365" t="s">
        <v>1665</v>
      </c>
      <c r="C513" s="387">
        <v>78.709999999999994</v>
      </c>
      <c r="D513" s="365" t="s">
        <v>868</v>
      </c>
      <c r="H513" s="296" t="s">
        <v>773</v>
      </c>
      <c r="K513" s="252">
        <f>(K511/10)+0.01</f>
        <v>7309.93</v>
      </c>
      <c r="O513" s="296" t="s">
        <v>1545</v>
      </c>
      <c r="R513" s="252">
        <f>(R511/30)</f>
        <v>179.76</v>
      </c>
      <c r="W513" s="253"/>
      <c r="AE513" s="370" t="str">
        <f t="shared" si="49"/>
        <v>|</v>
      </c>
      <c r="AG513" s="296" t="s">
        <v>2259</v>
      </c>
    </row>
    <row r="514" spans="1:37" ht="20.25" customHeight="1">
      <c r="A514" s="363">
        <f t="shared" si="55"/>
        <v>339</v>
      </c>
      <c r="B514" s="365" t="s">
        <v>1668</v>
      </c>
      <c r="C514" s="387">
        <v>78.709999999999994</v>
      </c>
      <c r="D514" s="365" t="s">
        <v>868</v>
      </c>
      <c r="R514" s="358" t="s">
        <v>1586</v>
      </c>
      <c r="W514" s="253"/>
      <c r="AE514" s="370">
        <f t="shared" si="49"/>
        <v>0</v>
      </c>
    </row>
    <row r="515" spans="1:37" ht="20.25"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0.25" customHeight="1">
      <c r="A516" s="363">
        <f t="shared" si="55"/>
        <v>341</v>
      </c>
      <c r="B516" s="365" t="s">
        <v>4256</v>
      </c>
      <c r="C516" s="314">
        <v>20.55</v>
      </c>
      <c r="D516" s="365" t="s">
        <v>1771</v>
      </c>
      <c r="K516" s="358" t="s">
        <v>1586</v>
      </c>
      <c r="O516" s="358" t="s">
        <v>1586</v>
      </c>
      <c r="W516" s="253"/>
      <c r="AE516" s="370" t="str">
        <f t="shared" si="49"/>
        <v>|</v>
      </c>
      <c r="AG516" s="296" t="s">
        <v>2259</v>
      </c>
    </row>
    <row r="517" spans="1:37" ht="20.25" customHeight="1">
      <c r="A517" s="363">
        <f t="shared" si="55"/>
        <v>342</v>
      </c>
      <c r="B517" s="365" t="s">
        <v>2907</v>
      </c>
      <c r="C517" s="314">
        <v>26</v>
      </c>
      <c r="D517" s="365" t="s">
        <v>1771</v>
      </c>
      <c r="E517" s="362">
        <v>98.6</v>
      </c>
      <c r="H517" s="296" t="s">
        <v>1240</v>
      </c>
      <c r="K517" s="252">
        <f>SUM(K513:K515)</f>
        <v>7404.13</v>
      </c>
      <c r="M517" s="252">
        <v>30</v>
      </c>
      <c r="N517" s="296" t="s">
        <v>1771</v>
      </c>
      <c r="O517" s="296" t="s">
        <v>1664</v>
      </c>
      <c r="P517" s="252">
        <f>(C42)</f>
        <v>5</v>
      </c>
      <c r="Q517" s="296" t="s">
        <v>1771</v>
      </c>
      <c r="R517" s="252">
        <f>(M517*P517)</f>
        <v>150</v>
      </c>
      <c r="W517" s="253"/>
      <c r="AE517" s="370" t="str">
        <f t="shared" si="49"/>
        <v>|</v>
      </c>
      <c r="AG517" s="296" t="s">
        <v>2259</v>
      </c>
    </row>
    <row r="518" spans="1:37" ht="20.25"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0.25" customHeight="1">
      <c r="A519" s="363">
        <f t="shared" si="55"/>
        <v>344</v>
      </c>
      <c r="B519" s="365" t="s">
        <v>1242</v>
      </c>
      <c r="C519" s="314">
        <v>52</v>
      </c>
      <c r="D519" s="365" t="s">
        <v>1771</v>
      </c>
      <c r="G519" s="252" t="s">
        <v>1243</v>
      </c>
      <c r="H519" s="296" t="s">
        <v>386</v>
      </c>
      <c r="K519" s="252">
        <f>(K517+C22)</f>
        <v>7523.98</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0.25" customHeight="1">
      <c r="A520" s="363">
        <f t="shared" si="55"/>
        <v>345</v>
      </c>
      <c r="B520" s="365" t="s">
        <v>1244</v>
      </c>
      <c r="C520" s="314">
        <v>65</v>
      </c>
      <c r="D520" s="364">
        <v>21</v>
      </c>
      <c r="G520" s="252" t="s">
        <v>1245</v>
      </c>
      <c r="H520" s="296" t="s">
        <v>388</v>
      </c>
      <c r="K520" s="252">
        <f>(K519+C23)</f>
        <v>7760.08</v>
      </c>
      <c r="M520" s="252">
        <v>8</v>
      </c>
      <c r="N520" s="296" t="s">
        <v>868</v>
      </c>
      <c r="O520" s="296" t="s">
        <v>467</v>
      </c>
      <c r="P520" s="252">
        <f>(C51)</f>
        <v>13.5</v>
      </c>
      <c r="Q520" s="296" t="s">
        <v>868</v>
      </c>
      <c r="R520" s="252">
        <f t="shared" si="58"/>
        <v>108</v>
      </c>
      <c r="W520" s="253"/>
      <c r="AE520" s="370" t="str">
        <f t="shared" si="49"/>
        <v>|</v>
      </c>
      <c r="AG520" s="296" t="s">
        <v>2259</v>
      </c>
    </row>
    <row r="521" spans="1:37" ht="20.25" customHeight="1">
      <c r="A521" s="363">
        <f t="shared" si="55"/>
        <v>346</v>
      </c>
      <c r="B521" s="365" t="s">
        <v>376</v>
      </c>
      <c r="C521" s="314">
        <v>82</v>
      </c>
      <c r="D521" s="364">
        <v>37.15</v>
      </c>
      <c r="G521" s="252" t="s">
        <v>426</v>
      </c>
      <c r="H521" s="296" t="s">
        <v>2232</v>
      </c>
      <c r="K521" s="252">
        <f>(K520+C24)</f>
        <v>7996.18</v>
      </c>
      <c r="M521" s="252">
        <v>3</v>
      </c>
      <c r="N521" s="296" t="s">
        <v>868</v>
      </c>
      <c r="O521" s="296" t="s">
        <v>1845</v>
      </c>
      <c r="P521" s="252">
        <f>(C41)</f>
        <v>738</v>
      </c>
      <c r="Q521" s="296" t="s">
        <v>868</v>
      </c>
      <c r="R521" s="252">
        <f t="shared" si="58"/>
        <v>2214</v>
      </c>
      <c r="W521" s="253"/>
      <c r="AE521" s="370" t="str">
        <f t="shared" si="49"/>
        <v>|</v>
      </c>
      <c r="AG521" s="296" t="s">
        <v>2259</v>
      </c>
    </row>
    <row r="522" spans="1:37" ht="20.25" customHeight="1">
      <c r="A522" s="363">
        <f t="shared" si="55"/>
        <v>347</v>
      </c>
      <c r="B522" s="365" t="s">
        <v>993</v>
      </c>
      <c r="C522" s="364"/>
      <c r="D522" s="365" t="s">
        <v>975</v>
      </c>
      <c r="G522" s="252" t="s">
        <v>994</v>
      </c>
      <c r="H522" s="296" t="s">
        <v>380</v>
      </c>
      <c r="K522" s="252">
        <f>(K521+C24)</f>
        <v>8232.2800000000007</v>
      </c>
      <c r="M522" s="252">
        <v>1</v>
      </c>
      <c r="N522" s="296" t="s">
        <v>868</v>
      </c>
      <c r="O522" s="296" t="s">
        <v>1846</v>
      </c>
      <c r="P522" s="252">
        <f>(C10)</f>
        <v>999</v>
      </c>
      <c r="Q522" s="296" t="s">
        <v>868</v>
      </c>
      <c r="R522" s="252">
        <f t="shared" si="58"/>
        <v>999</v>
      </c>
      <c r="W522" s="253"/>
      <c r="AE522" s="370" t="str">
        <f t="shared" si="49"/>
        <v>|::</v>
      </c>
      <c r="AG522" s="296" t="s">
        <v>321</v>
      </c>
    </row>
    <row r="523" spans="1:37" ht="20.25"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0.25"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0.25"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3995</v>
      </c>
      <c r="W525" s="253"/>
      <c r="AA525" s="416" t="s">
        <v>4137</v>
      </c>
      <c r="AE525" s="370">
        <f t="shared" ref="AE525:AE596" si="59">AG525</f>
        <v>0</v>
      </c>
      <c r="AH525" s="416" t="s">
        <v>4736</v>
      </c>
    </row>
    <row r="526" spans="1:37" ht="20.25" customHeight="1">
      <c r="A526" s="363">
        <f t="shared" si="55"/>
        <v>351</v>
      </c>
      <c r="B526" s="365" t="s">
        <v>1118</v>
      </c>
      <c r="C526" s="314">
        <v>11.86</v>
      </c>
      <c r="D526" s="365" t="s">
        <v>868</v>
      </c>
      <c r="F526" s="356">
        <v>1.4999999999999999E-2</v>
      </c>
      <c r="G526" s="252" t="s">
        <v>869</v>
      </c>
      <c r="H526" s="296" t="s">
        <v>997</v>
      </c>
      <c r="I526" s="252">
        <f>(K513)</f>
        <v>7309.93</v>
      </c>
      <c r="J526" s="296" t="s">
        <v>869</v>
      </c>
      <c r="K526" s="252">
        <f>(F526*I526)</f>
        <v>109.65</v>
      </c>
      <c r="O526" s="296" t="s">
        <v>1849</v>
      </c>
      <c r="P526" s="296" t="s">
        <v>975</v>
      </c>
      <c r="R526" s="296" t="s">
        <v>975</v>
      </c>
      <c r="S526" s="253" t="s">
        <v>995</v>
      </c>
      <c r="T526" s="252" t="s">
        <v>2251</v>
      </c>
      <c r="U526" s="296" t="s">
        <v>6086</v>
      </c>
      <c r="W526" s="253"/>
      <c r="Y526" s="253" t="s">
        <v>995</v>
      </c>
      <c r="Z526" s="252" t="s">
        <v>2251</v>
      </c>
      <c r="AA526" s="296" t="s">
        <v>6087</v>
      </c>
      <c r="AC526" s="296"/>
      <c r="AE526" s="370" t="str">
        <f t="shared" si="59"/>
        <v>*</v>
      </c>
      <c r="AF526" s="253" t="s">
        <v>995</v>
      </c>
      <c r="AG526" s="252" t="s">
        <v>2251</v>
      </c>
      <c r="AH526" s="296" t="s">
        <v>6088</v>
      </c>
      <c r="AJ526" s="296"/>
    </row>
    <row r="527" spans="1:37" ht="20.25"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0.25"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7416.56</v>
      </c>
      <c r="W528" s="253" t="s">
        <v>869</v>
      </c>
      <c r="X528" s="252">
        <f>(S528*V528)</f>
        <v>111.25</v>
      </c>
      <c r="Y528" s="356">
        <v>1.4999999999999999E-2</v>
      </c>
      <c r="Z528" s="252" t="s">
        <v>869</v>
      </c>
      <c r="AA528" s="296" t="s">
        <v>997</v>
      </c>
      <c r="AB528" s="252">
        <f>AF657</f>
        <v>7960.83</v>
      </c>
      <c r="AC528" s="296" t="s">
        <v>869</v>
      </c>
      <c r="AD528" s="252">
        <f>(Y528*AB528)</f>
        <v>119.41</v>
      </c>
      <c r="AE528" s="370" t="str">
        <f t="shared" si="59"/>
        <v>CUM</v>
      </c>
      <c r="AF528" s="356">
        <v>1.4999999999999999E-2</v>
      </c>
      <c r="AG528" s="252" t="s">
        <v>869</v>
      </c>
      <c r="AH528" s="296" t="s">
        <v>997</v>
      </c>
      <c r="AI528" s="252">
        <f>Y742</f>
        <v>8105.74</v>
      </c>
      <c r="AJ528" s="296" t="s">
        <v>869</v>
      </c>
      <c r="AK528" s="252">
        <f>(AF528*AI528)</f>
        <v>121.59</v>
      </c>
    </row>
    <row r="529" spans="1:37" ht="20.25"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0.25"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0.25" customHeight="1">
      <c r="A531" s="363">
        <f t="shared" si="55"/>
        <v>356</v>
      </c>
      <c r="B531" s="365" t="s">
        <v>1116</v>
      </c>
      <c r="C531" s="314">
        <v>7.83</v>
      </c>
      <c r="D531" s="365" t="s">
        <v>868</v>
      </c>
      <c r="H531" s="296" t="s">
        <v>1748</v>
      </c>
      <c r="K531" s="252">
        <f>SUM(K526:K529)</f>
        <v>1097.4000000000001</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0.25"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0.25" customHeight="1">
      <c r="A533" s="363">
        <f t="shared" si="55"/>
        <v>358</v>
      </c>
      <c r="B533" s="365" t="s">
        <v>1118</v>
      </c>
      <c r="C533" s="314">
        <v>18.75</v>
      </c>
      <c r="D533" s="365" t="s">
        <v>868</v>
      </c>
      <c r="H533" s="296" t="s">
        <v>552</v>
      </c>
      <c r="K533" s="252">
        <f>(K531/0.743)</f>
        <v>1476.99</v>
      </c>
      <c r="S533" s="252"/>
      <c r="U533" s="296" t="s">
        <v>1748</v>
      </c>
      <c r="W533" s="253"/>
      <c r="X533" s="252">
        <f>SUM(X528:X531)</f>
        <v>1099</v>
      </c>
      <c r="AA533" s="296" t="s">
        <v>1748</v>
      </c>
      <c r="AC533" s="296"/>
      <c r="AD533" s="252">
        <f>SUM(AD528:AD531)</f>
        <v>1107.1600000000001</v>
      </c>
      <c r="AE533" s="370">
        <f t="shared" si="59"/>
        <v>0</v>
      </c>
      <c r="AH533" s="296" t="s">
        <v>1748</v>
      </c>
      <c r="AJ533" s="296"/>
      <c r="AK533" s="252">
        <f>SUM(AK528:AK531)</f>
        <v>1109.3399999999999</v>
      </c>
    </row>
    <row r="534" spans="1:37" ht="20.25"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0.25" customHeight="1">
      <c r="A535" s="363">
        <f t="shared" si="55"/>
        <v>360</v>
      </c>
      <c r="B535" s="365" t="s">
        <v>240</v>
      </c>
      <c r="C535" s="314">
        <v>45.57</v>
      </c>
      <c r="D535" s="365" t="s">
        <v>868</v>
      </c>
      <c r="H535" s="296" t="s">
        <v>386</v>
      </c>
      <c r="I535" s="252">
        <f>K533</f>
        <v>1476.99</v>
      </c>
      <c r="J535" s="296">
        <f>C22*0.015/0.743</f>
        <v>2.42</v>
      </c>
      <c r="K535" s="274">
        <f>I535+J535</f>
        <v>1479.41</v>
      </c>
      <c r="N535" s="296" t="s">
        <v>1955</v>
      </c>
      <c r="O535" s="253" t="s">
        <v>1272</v>
      </c>
      <c r="S535" s="252"/>
      <c r="U535" s="296" t="s">
        <v>552</v>
      </c>
      <c r="W535" s="253"/>
      <c r="X535" s="252">
        <f>(X533/0.743)</f>
        <v>1479.14</v>
      </c>
      <c r="AA535" s="296" t="s">
        <v>552</v>
      </c>
      <c r="AC535" s="296"/>
      <c r="AD535" s="252">
        <f>(AD533/0.743)</f>
        <v>1490.12</v>
      </c>
      <c r="AE535" s="370">
        <f t="shared" si="59"/>
        <v>0</v>
      </c>
      <c r="AH535" s="296" t="s">
        <v>552</v>
      </c>
      <c r="AJ535" s="296"/>
      <c r="AK535" s="252">
        <f>(AK533/0.743)</f>
        <v>1493.06</v>
      </c>
    </row>
    <row r="536" spans="1:37" ht="20.25" customHeight="1">
      <c r="A536" s="363">
        <f t="shared" si="55"/>
        <v>361</v>
      </c>
      <c r="B536" s="365" t="s">
        <v>1127</v>
      </c>
      <c r="C536" s="314"/>
      <c r="D536" s="365" t="s">
        <v>975</v>
      </c>
      <c r="H536" s="296" t="s">
        <v>388</v>
      </c>
      <c r="I536" s="252">
        <f>K535</f>
        <v>1479.41</v>
      </c>
      <c r="J536" s="296">
        <f>C23*0.015/0.743</f>
        <v>4.7699999999999996</v>
      </c>
      <c r="K536" s="274">
        <f>I536+J536</f>
        <v>1484.18</v>
      </c>
      <c r="O536" s="358" t="s">
        <v>1586</v>
      </c>
      <c r="S536" s="252"/>
      <c r="W536" s="253"/>
      <c r="X536" s="358" t="s">
        <v>2055</v>
      </c>
      <c r="AC536" s="296"/>
      <c r="AD536" s="358" t="s">
        <v>2055</v>
      </c>
      <c r="AE536" s="370">
        <f t="shared" si="59"/>
        <v>0</v>
      </c>
      <c r="AJ536" s="296"/>
      <c r="AK536" s="358" t="s">
        <v>2055</v>
      </c>
    </row>
    <row r="537" spans="1:37" ht="20.25" customHeight="1">
      <c r="A537" s="363">
        <f t="shared" si="55"/>
        <v>362</v>
      </c>
      <c r="B537" s="365" t="s">
        <v>1115</v>
      </c>
      <c r="C537" s="314">
        <v>7.8</v>
      </c>
      <c r="D537" s="365" t="s">
        <v>868</v>
      </c>
      <c r="H537" s="296" t="s">
        <v>2232</v>
      </c>
      <c r="I537" s="252">
        <f>K536</f>
        <v>1484.18</v>
      </c>
      <c r="J537" s="296">
        <f>J536</f>
        <v>4.7699999999999996</v>
      </c>
      <c r="K537" s="274">
        <f>I537+J537</f>
        <v>1488.95</v>
      </c>
      <c r="M537" s="252">
        <v>30</v>
      </c>
      <c r="N537" s="296" t="s">
        <v>1771</v>
      </c>
      <c r="O537" s="296" t="s">
        <v>1664</v>
      </c>
      <c r="P537" s="252">
        <f>(C42)</f>
        <v>5</v>
      </c>
      <c r="Q537" s="296" t="s">
        <v>1771</v>
      </c>
      <c r="R537" s="252">
        <f>(M537*P537)</f>
        <v>150</v>
      </c>
      <c r="S537" s="252"/>
      <c r="U537" s="296" t="s">
        <v>386</v>
      </c>
      <c r="V537" s="252">
        <f>X535</f>
        <v>1479.14</v>
      </c>
      <c r="W537" s="253">
        <f>J535</f>
        <v>2.42</v>
      </c>
      <c r="X537" s="274">
        <f>V537+W537</f>
        <v>1481.56</v>
      </c>
      <c r="AA537" s="296" t="s">
        <v>386</v>
      </c>
      <c r="AB537" s="252">
        <f>AD535</f>
        <v>1490.12</v>
      </c>
      <c r="AC537" s="296">
        <f>W537</f>
        <v>2.42</v>
      </c>
      <c r="AD537" s="274">
        <f>AB537+AC537</f>
        <v>1492.54</v>
      </c>
      <c r="AE537" s="370">
        <f t="shared" si="59"/>
        <v>0</v>
      </c>
      <c r="AH537" s="296" t="s">
        <v>386</v>
      </c>
      <c r="AI537" s="252">
        <f>AK535</f>
        <v>1493.06</v>
      </c>
      <c r="AJ537" s="296">
        <f>AC537</f>
        <v>2.42</v>
      </c>
      <c r="AK537" s="274">
        <f>AI537+AJ537</f>
        <v>1495.48</v>
      </c>
    </row>
    <row r="538" spans="1:37" ht="20.25" customHeight="1">
      <c r="A538" s="363">
        <f t="shared" si="55"/>
        <v>363</v>
      </c>
      <c r="B538" s="365" t="s">
        <v>1116</v>
      </c>
      <c r="C538" s="314">
        <v>9.49</v>
      </c>
      <c r="D538" s="365" t="s">
        <v>868</v>
      </c>
      <c r="H538" s="296" t="s">
        <v>380</v>
      </c>
      <c r="I538" s="252">
        <f>K537</f>
        <v>1488.95</v>
      </c>
      <c r="J538" s="296">
        <f>J537</f>
        <v>4.7699999999999996</v>
      </c>
      <c r="K538" s="274">
        <f>I538+J538</f>
        <v>1493.72</v>
      </c>
      <c r="M538" s="296" t="s">
        <v>975</v>
      </c>
      <c r="O538" s="296" t="s">
        <v>1667</v>
      </c>
      <c r="P538" s="296" t="s">
        <v>975</v>
      </c>
      <c r="R538" s="296" t="s">
        <v>975</v>
      </c>
      <c r="S538" s="252"/>
      <c r="U538" s="296" t="s">
        <v>388</v>
      </c>
      <c r="V538" s="252">
        <f>X537</f>
        <v>1481.56</v>
      </c>
      <c r="W538" s="253">
        <f t="shared" ref="W538:W549" si="60">J538</f>
        <v>4.7699999999999996</v>
      </c>
      <c r="X538" s="274">
        <f>V538+W538</f>
        <v>1486.33</v>
      </c>
      <c r="AA538" s="296" t="s">
        <v>388</v>
      </c>
      <c r="AB538" s="252">
        <f>AD537</f>
        <v>1492.54</v>
      </c>
      <c r="AC538" s="296">
        <f t="shared" ref="AC538:AC549" si="61">W538</f>
        <v>4.7699999999999996</v>
      </c>
      <c r="AD538" s="274">
        <f>AB538+AC538</f>
        <v>1497.31</v>
      </c>
      <c r="AE538" s="370">
        <f t="shared" si="59"/>
        <v>0</v>
      </c>
      <c r="AH538" s="296" t="s">
        <v>388</v>
      </c>
      <c r="AI538" s="252">
        <f>AK537</f>
        <v>1495.48</v>
      </c>
      <c r="AJ538" s="296">
        <f t="shared" ref="AJ538:AJ548" si="62">AC538</f>
        <v>4.7699999999999996</v>
      </c>
      <c r="AK538" s="274">
        <f>AI538+AJ538</f>
        <v>1500.25</v>
      </c>
    </row>
    <row r="539" spans="1:37" ht="20.25" customHeight="1">
      <c r="A539" s="363">
        <f t="shared" si="55"/>
        <v>364</v>
      </c>
      <c r="B539" s="365" t="s">
        <v>1117</v>
      </c>
      <c r="C539" s="314">
        <v>13.91</v>
      </c>
      <c r="D539" s="365" t="s">
        <v>868</v>
      </c>
      <c r="H539" s="296" t="s">
        <v>388</v>
      </c>
      <c r="I539" s="252">
        <f>K538</f>
        <v>1493.72</v>
      </c>
      <c r="J539" s="296">
        <f>J538</f>
        <v>4.7699999999999996</v>
      </c>
      <c r="K539" s="274">
        <f>I539+J539</f>
        <v>1498.49</v>
      </c>
      <c r="M539" s="252">
        <v>8</v>
      </c>
      <c r="N539" s="296" t="s">
        <v>868</v>
      </c>
      <c r="O539" s="296" t="s">
        <v>2144</v>
      </c>
      <c r="P539" s="252">
        <f>(C45)</f>
        <v>11.2</v>
      </c>
      <c r="Q539" s="296" t="s">
        <v>868</v>
      </c>
      <c r="R539" s="252">
        <f>(M539*P539)</f>
        <v>89.6</v>
      </c>
      <c r="S539" s="252"/>
      <c r="U539" s="296" t="s">
        <v>2232</v>
      </c>
      <c r="V539" s="252">
        <f>X538</f>
        <v>1486.33</v>
      </c>
      <c r="W539" s="253">
        <f t="shared" si="60"/>
        <v>4.7699999999999996</v>
      </c>
      <c r="X539" s="274">
        <f>V539+W539</f>
        <v>1491.1</v>
      </c>
      <c r="AA539" s="296" t="s">
        <v>2232</v>
      </c>
      <c r="AB539" s="252">
        <f>AD538</f>
        <v>1497.31</v>
      </c>
      <c r="AC539" s="296">
        <f t="shared" si="61"/>
        <v>4.7699999999999996</v>
      </c>
      <c r="AD539" s="274">
        <f>AB539+AC539</f>
        <v>1502.08</v>
      </c>
      <c r="AE539" s="370">
        <f t="shared" si="59"/>
        <v>0</v>
      </c>
      <c r="AH539" s="296" t="s">
        <v>2232</v>
      </c>
      <c r="AI539" s="252">
        <f>AK538</f>
        <v>1500.25</v>
      </c>
      <c r="AJ539" s="296">
        <f t="shared" si="62"/>
        <v>4.7699999999999996</v>
      </c>
      <c r="AK539" s="274">
        <f>AI539+AJ539</f>
        <v>1505.02</v>
      </c>
    </row>
    <row r="540" spans="1:37" ht="20.25" customHeight="1">
      <c r="A540" s="363"/>
      <c r="B540" s="365"/>
      <c r="C540" s="364"/>
      <c r="D540" s="365"/>
      <c r="H540" s="296">
        <v>5</v>
      </c>
      <c r="I540" s="252">
        <f t="shared" ref="I540:I545" si="63">K539</f>
        <v>1498.49</v>
      </c>
      <c r="J540" s="296">
        <f t="shared" ref="J540:J547" si="64">J539</f>
        <v>4.7699999999999996</v>
      </c>
      <c r="K540" s="274">
        <f t="shared" ref="K540:K545" si="65">I540+J540</f>
        <v>1503.26</v>
      </c>
      <c r="N540" s="296"/>
      <c r="O540" s="296"/>
      <c r="Q540" s="296"/>
      <c r="S540" s="252"/>
      <c r="U540" s="296" t="s">
        <v>380</v>
      </c>
      <c r="V540" s="252">
        <f>X539</f>
        <v>1491.1</v>
      </c>
      <c r="W540" s="253">
        <f t="shared" si="60"/>
        <v>4.7699999999999996</v>
      </c>
      <c r="X540" s="274">
        <f>V540+W540</f>
        <v>1495.87</v>
      </c>
      <c r="AA540" s="296" t="s">
        <v>380</v>
      </c>
      <c r="AB540" s="252">
        <f>AD539</f>
        <v>1502.08</v>
      </c>
      <c r="AC540" s="296">
        <f t="shared" si="61"/>
        <v>4.7699999999999996</v>
      </c>
      <c r="AD540" s="274">
        <f>AB540+AC540</f>
        <v>1506.85</v>
      </c>
      <c r="AE540" s="370"/>
      <c r="AH540" s="296" t="s">
        <v>380</v>
      </c>
      <c r="AI540" s="252">
        <f>AK539</f>
        <v>1505.02</v>
      </c>
      <c r="AJ540" s="296">
        <f t="shared" si="62"/>
        <v>4.7699999999999996</v>
      </c>
      <c r="AK540" s="274">
        <f>AI540+AJ540</f>
        <v>1509.79</v>
      </c>
    </row>
    <row r="541" spans="1:37" ht="20.25" customHeight="1">
      <c r="A541" s="363"/>
      <c r="B541" s="365"/>
      <c r="C541" s="364"/>
      <c r="D541" s="365"/>
      <c r="H541" s="296">
        <v>6</v>
      </c>
      <c r="I541" s="252">
        <f t="shared" si="63"/>
        <v>1503.26</v>
      </c>
      <c r="J541" s="296">
        <f t="shared" si="64"/>
        <v>4.7699999999999996</v>
      </c>
      <c r="K541" s="274">
        <f t="shared" si="65"/>
        <v>1508.03</v>
      </c>
      <c r="N541" s="296"/>
      <c r="O541" s="296"/>
      <c r="Q541" s="296"/>
      <c r="S541" s="252"/>
      <c r="U541" s="296" t="s">
        <v>388</v>
      </c>
      <c r="V541" s="252">
        <f>X540</f>
        <v>1495.87</v>
      </c>
      <c r="W541" s="253">
        <f t="shared" si="60"/>
        <v>4.7699999999999996</v>
      </c>
      <c r="X541" s="274">
        <f>V541+W541</f>
        <v>1500.64</v>
      </c>
      <c r="AA541" s="296" t="s">
        <v>388</v>
      </c>
      <c r="AB541" s="252">
        <f>AD540</f>
        <v>1506.85</v>
      </c>
      <c r="AC541" s="296">
        <f t="shared" si="61"/>
        <v>4.7699999999999996</v>
      </c>
      <c r="AD541" s="274">
        <f>AB541+AC541</f>
        <v>1511.62</v>
      </c>
      <c r="AE541" s="370"/>
      <c r="AH541" s="296" t="s">
        <v>388</v>
      </c>
      <c r="AI541" s="252">
        <f>AK540</f>
        <v>1509.79</v>
      </c>
      <c r="AJ541" s="296">
        <f t="shared" si="62"/>
        <v>4.7699999999999996</v>
      </c>
      <c r="AK541" s="274">
        <f>AI541+AJ541</f>
        <v>1514.56</v>
      </c>
    </row>
    <row r="542" spans="1:37" ht="20.25" customHeight="1">
      <c r="A542" s="363"/>
      <c r="B542" s="365"/>
      <c r="C542" s="364"/>
      <c r="D542" s="365"/>
      <c r="H542" s="296">
        <v>7</v>
      </c>
      <c r="I542" s="252">
        <f t="shared" si="63"/>
        <v>1508.03</v>
      </c>
      <c r="J542" s="296">
        <f t="shared" si="64"/>
        <v>4.7699999999999996</v>
      </c>
      <c r="K542" s="274">
        <f t="shared" si="65"/>
        <v>1512.8</v>
      </c>
      <c r="N542" s="296"/>
      <c r="O542" s="296"/>
      <c r="Q542" s="296"/>
      <c r="S542" s="252"/>
      <c r="U542" s="296">
        <v>5</v>
      </c>
      <c r="V542" s="252">
        <f t="shared" ref="V542:V547" si="66">X541</f>
        <v>1500.64</v>
      </c>
      <c r="W542" s="253">
        <f t="shared" si="60"/>
        <v>4.7699999999999996</v>
      </c>
      <c r="X542" s="274">
        <f t="shared" ref="X542:X547" si="67">V542+W542</f>
        <v>1505.41</v>
      </c>
      <c r="AA542" s="296">
        <v>5</v>
      </c>
      <c r="AB542" s="252">
        <f t="shared" ref="AB542:AB547" si="68">AD541</f>
        <v>1511.62</v>
      </c>
      <c r="AC542" s="296">
        <f t="shared" si="61"/>
        <v>4.7699999999999996</v>
      </c>
      <c r="AD542" s="274">
        <f t="shared" ref="AD542:AD547" si="69">AB542+AC542</f>
        <v>1516.39</v>
      </c>
      <c r="AE542" s="370"/>
      <c r="AH542" s="296">
        <v>5</v>
      </c>
      <c r="AI542" s="252">
        <f t="shared" ref="AI542:AI547" si="70">AK541</f>
        <v>1514.56</v>
      </c>
      <c r="AJ542" s="296">
        <f t="shared" si="62"/>
        <v>4.7699999999999996</v>
      </c>
      <c r="AK542" s="274">
        <f t="shared" ref="AK542:AK547" si="71">AI542+AJ542</f>
        <v>1519.33</v>
      </c>
    </row>
    <row r="543" spans="1:37" ht="20.25" customHeight="1">
      <c r="A543" s="363"/>
      <c r="B543" s="365"/>
      <c r="C543" s="364"/>
      <c r="D543" s="365"/>
      <c r="H543" s="296">
        <v>8</v>
      </c>
      <c r="I543" s="252">
        <f t="shared" si="63"/>
        <v>1512.8</v>
      </c>
      <c r="J543" s="296">
        <f t="shared" si="64"/>
        <v>4.7699999999999996</v>
      </c>
      <c r="K543" s="274">
        <f t="shared" si="65"/>
        <v>1517.57</v>
      </c>
      <c r="N543" s="296"/>
      <c r="O543" s="296"/>
      <c r="Q543" s="296"/>
      <c r="S543" s="252"/>
      <c r="U543" s="296">
        <v>6</v>
      </c>
      <c r="V543" s="252">
        <f t="shared" si="66"/>
        <v>1505.41</v>
      </c>
      <c r="W543" s="253">
        <f t="shared" si="60"/>
        <v>4.7699999999999996</v>
      </c>
      <c r="X543" s="274">
        <f t="shared" si="67"/>
        <v>1510.18</v>
      </c>
      <c r="AA543" s="296">
        <v>6</v>
      </c>
      <c r="AB543" s="252">
        <f t="shared" si="68"/>
        <v>1516.39</v>
      </c>
      <c r="AC543" s="296">
        <f t="shared" si="61"/>
        <v>4.7699999999999996</v>
      </c>
      <c r="AD543" s="274">
        <f t="shared" si="69"/>
        <v>1521.16</v>
      </c>
      <c r="AE543" s="370"/>
      <c r="AH543" s="296">
        <v>6</v>
      </c>
      <c r="AI543" s="252">
        <f t="shared" si="70"/>
        <v>1519.33</v>
      </c>
      <c r="AJ543" s="296">
        <f t="shared" si="62"/>
        <v>4.7699999999999996</v>
      </c>
      <c r="AK543" s="274">
        <f t="shared" si="71"/>
        <v>1524.1</v>
      </c>
    </row>
    <row r="544" spans="1:37" ht="20.25" customHeight="1">
      <c r="A544" s="363"/>
      <c r="B544" s="365"/>
      <c r="C544" s="364"/>
      <c r="D544" s="365"/>
      <c r="H544" s="296">
        <v>9</v>
      </c>
      <c r="I544" s="252">
        <f t="shared" si="63"/>
        <v>1517.57</v>
      </c>
      <c r="J544" s="296">
        <f t="shared" si="64"/>
        <v>4.7699999999999996</v>
      </c>
      <c r="K544" s="274">
        <f t="shared" si="65"/>
        <v>1522.34</v>
      </c>
      <c r="N544" s="296"/>
      <c r="O544" s="296"/>
      <c r="Q544" s="296"/>
      <c r="S544" s="252"/>
      <c r="U544" s="296">
        <v>7</v>
      </c>
      <c r="V544" s="252">
        <f t="shared" si="66"/>
        <v>1510.18</v>
      </c>
      <c r="W544" s="253">
        <f t="shared" si="60"/>
        <v>4.7699999999999996</v>
      </c>
      <c r="X544" s="274">
        <f t="shared" si="67"/>
        <v>1514.95</v>
      </c>
      <c r="AA544" s="296">
        <v>7</v>
      </c>
      <c r="AB544" s="252">
        <f t="shared" si="68"/>
        <v>1521.16</v>
      </c>
      <c r="AC544" s="296">
        <f t="shared" si="61"/>
        <v>4.7699999999999996</v>
      </c>
      <c r="AD544" s="274">
        <f t="shared" si="69"/>
        <v>1525.93</v>
      </c>
      <c r="AE544" s="370"/>
      <c r="AH544" s="296">
        <v>7</v>
      </c>
      <c r="AI544" s="252">
        <f t="shared" si="70"/>
        <v>1524.1</v>
      </c>
      <c r="AJ544" s="296">
        <f t="shared" si="62"/>
        <v>4.7699999999999996</v>
      </c>
      <c r="AK544" s="274">
        <f t="shared" si="71"/>
        <v>1528.87</v>
      </c>
    </row>
    <row r="545" spans="1:37" ht="20.25" customHeight="1">
      <c r="A545" s="363"/>
      <c r="B545" s="365"/>
      <c r="C545" s="364"/>
      <c r="D545" s="365"/>
      <c r="H545" s="296">
        <v>10</v>
      </c>
      <c r="I545" s="252">
        <f t="shared" si="63"/>
        <v>1522.34</v>
      </c>
      <c r="J545" s="296">
        <f t="shared" si="64"/>
        <v>4.7699999999999996</v>
      </c>
      <c r="K545" s="274">
        <f t="shared" si="65"/>
        <v>1527.11</v>
      </c>
      <c r="N545" s="296"/>
      <c r="O545" s="296"/>
      <c r="Q545" s="296"/>
      <c r="S545" s="252"/>
      <c r="U545" s="296">
        <v>8</v>
      </c>
      <c r="V545" s="252">
        <f t="shared" si="66"/>
        <v>1514.95</v>
      </c>
      <c r="W545" s="253">
        <f t="shared" si="60"/>
        <v>4.7699999999999996</v>
      </c>
      <c r="X545" s="274">
        <f t="shared" si="67"/>
        <v>1519.72</v>
      </c>
      <c r="AA545" s="296">
        <v>8</v>
      </c>
      <c r="AB545" s="252">
        <f t="shared" si="68"/>
        <v>1525.93</v>
      </c>
      <c r="AC545" s="296">
        <f t="shared" si="61"/>
        <v>4.7699999999999996</v>
      </c>
      <c r="AD545" s="274">
        <f t="shared" si="69"/>
        <v>1530.7</v>
      </c>
      <c r="AE545" s="370"/>
      <c r="AH545" s="296">
        <v>8</v>
      </c>
      <c r="AI545" s="252">
        <f t="shared" si="70"/>
        <v>1528.87</v>
      </c>
      <c r="AJ545" s="296">
        <f t="shared" si="62"/>
        <v>4.7699999999999996</v>
      </c>
      <c r="AK545" s="274">
        <f t="shared" si="71"/>
        <v>1533.64</v>
      </c>
    </row>
    <row r="546" spans="1:37" ht="20.25" customHeight="1">
      <c r="A546" s="363"/>
      <c r="B546" s="365"/>
      <c r="C546" s="364"/>
      <c r="D546" s="365"/>
      <c r="H546" s="296">
        <v>11</v>
      </c>
      <c r="I546" s="252">
        <f>K545</f>
        <v>1527.11</v>
      </c>
      <c r="J546" s="296">
        <f t="shared" si="64"/>
        <v>4.7699999999999996</v>
      </c>
      <c r="K546" s="274">
        <f>I546+J546</f>
        <v>1531.88</v>
      </c>
      <c r="N546" s="296"/>
      <c r="O546" s="296"/>
      <c r="Q546" s="296"/>
      <c r="S546" s="252"/>
      <c r="U546" s="296">
        <v>9</v>
      </c>
      <c r="V546" s="252">
        <f t="shared" si="66"/>
        <v>1519.72</v>
      </c>
      <c r="W546" s="253">
        <f t="shared" si="60"/>
        <v>4.7699999999999996</v>
      </c>
      <c r="X546" s="274">
        <f t="shared" si="67"/>
        <v>1524.49</v>
      </c>
      <c r="AA546" s="296">
        <v>9</v>
      </c>
      <c r="AB546" s="252">
        <f t="shared" si="68"/>
        <v>1530.7</v>
      </c>
      <c r="AC546" s="296">
        <f t="shared" si="61"/>
        <v>4.7699999999999996</v>
      </c>
      <c r="AD546" s="274">
        <f t="shared" si="69"/>
        <v>1535.47</v>
      </c>
      <c r="AE546" s="370"/>
      <c r="AH546" s="296">
        <v>9</v>
      </c>
      <c r="AI546" s="252">
        <f t="shared" si="70"/>
        <v>1533.64</v>
      </c>
      <c r="AJ546" s="296">
        <f t="shared" si="62"/>
        <v>4.7699999999999996</v>
      </c>
      <c r="AK546" s="274">
        <f t="shared" si="71"/>
        <v>1538.41</v>
      </c>
    </row>
    <row r="547" spans="1:37" ht="20.25" customHeight="1">
      <c r="A547" s="363"/>
      <c r="B547" s="365"/>
      <c r="C547" s="364"/>
      <c r="D547" s="365"/>
      <c r="H547" s="296">
        <v>12</v>
      </c>
      <c r="I547" s="252">
        <f>K546</f>
        <v>1531.88</v>
      </c>
      <c r="J547" s="296">
        <f t="shared" si="64"/>
        <v>4.7699999999999996</v>
      </c>
      <c r="K547" s="274">
        <f>I547+J547</f>
        <v>1536.65</v>
      </c>
      <c r="N547" s="296"/>
      <c r="O547" s="296"/>
      <c r="Q547" s="296"/>
      <c r="S547" s="252"/>
      <c r="U547" s="296">
        <v>10</v>
      </c>
      <c r="V547" s="252">
        <f t="shared" si="66"/>
        <v>1524.49</v>
      </c>
      <c r="W547" s="253">
        <f t="shared" si="60"/>
        <v>4.7699999999999996</v>
      </c>
      <c r="X547" s="274">
        <f t="shared" si="67"/>
        <v>1529.26</v>
      </c>
      <c r="AA547" s="296">
        <v>10</v>
      </c>
      <c r="AB547" s="252">
        <f t="shared" si="68"/>
        <v>1535.47</v>
      </c>
      <c r="AC547" s="296">
        <f t="shared" si="61"/>
        <v>4.7699999999999996</v>
      </c>
      <c r="AD547" s="274">
        <f t="shared" si="69"/>
        <v>1540.24</v>
      </c>
      <c r="AE547" s="370"/>
      <c r="AH547" s="296">
        <v>10</v>
      </c>
      <c r="AI547" s="252">
        <f t="shared" si="70"/>
        <v>1538.41</v>
      </c>
      <c r="AJ547" s="296">
        <f t="shared" si="62"/>
        <v>4.7699999999999996</v>
      </c>
      <c r="AK547" s="274">
        <f t="shared" si="71"/>
        <v>1543.18</v>
      </c>
    </row>
    <row r="548" spans="1:37" ht="20.25"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1529.26</v>
      </c>
      <c r="W548" s="253">
        <f t="shared" si="60"/>
        <v>0</v>
      </c>
      <c r="X548" s="274">
        <f>V548+W548</f>
        <v>1529.26</v>
      </c>
      <c r="AA548" s="296">
        <v>11</v>
      </c>
      <c r="AB548" s="252">
        <f>AD547</f>
        <v>1540.24</v>
      </c>
      <c r="AC548" s="296">
        <f t="shared" si="61"/>
        <v>0</v>
      </c>
      <c r="AD548" s="274">
        <f>AB548+AC548</f>
        <v>1540.24</v>
      </c>
      <c r="AE548" s="370">
        <f t="shared" si="59"/>
        <v>0</v>
      </c>
      <c r="AH548" s="296">
        <v>11</v>
      </c>
      <c r="AI548" s="252">
        <f>AK547</f>
        <v>1543.18</v>
      </c>
      <c r="AJ548" s="296">
        <f t="shared" si="62"/>
        <v>0</v>
      </c>
      <c r="AK548" s="274">
        <f>AI548+AJ548</f>
        <v>1543.18</v>
      </c>
    </row>
    <row r="549" spans="1:37" ht="20.2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1529.26</v>
      </c>
      <c r="W549" s="253">
        <f t="shared" si="60"/>
        <v>0</v>
      </c>
      <c r="X549" s="274">
        <f>V549+W549</f>
        <v>1529.26</v>
      </c>
      <c r="AA549" s="296">
        <v>12</v>
      </c>
      <c r="AB549" s="252">
        <f>AD548</f>
        <v>1540.24</v>
      </c>
      <c r="AC549" s="296">
        <f t="shared" si="61"/>
        <v>0</v>
      </c>
      <c r="AD549" s="274">
        <f>AB549+AC549</f>
        <v>1540.24</v>
      </c>
      <c r="AE549" s="370">
        <f t="shared" si="59"/>
        <v>0</v>
      </c>
      <c r="AH549" s="296">
        <v>12</v>
      </c>
      <c r="AI549" s="252">
        <f>AK548</f>
        <v>1543.18</v>
      </c>
      <c r="AJ549" s="296">
        <f>AD549</f>
        <v>1540.24</v>
      </c>
      <c r="AK549" s="274">
        <f>AI549+AJ549</f>
        <v>3083.42</v>
      </c>
    </row>
    <row r="550" spans="1:37" ht="20.25" customHeight="1">
      <c r="A550" s="363">
        <f t="shared" si="55"/>
        <v>367</v>
      </c>
      <c r="B550" s="365" t="s">
        <v>240</v>
      </c>
      <c r="C550" s="314">
        <v>66</v>
      </c>
      <c r="D550" s="365" t="s">
        <v>868</v>
      </c>
      <c r="F550" s="252">
        <v>0.03</v>
      </c>
      <c r="G550" s="252" t="s">
        <v>869</v>
      </c>
      <c r="H550" s="296" t="s">
        <v>997</v>
      </c>
      <c r="I550" s="252">
        <f>(K513)</f>
        <v>7309.93</v>
      </c>
      <c r="J550" s="296" t="s">
        <v>869</v>
      </c>
      <c r="K550" s="252">
        <f>(F550*I550)</f>
        <v>219.3</v>
      </c>
      <c r="M550" s="252">
        <v>1</v>
      </c>
      <c r="N550" s="296" t="s">
        <v>868</v>
      </c>
      <c r="O550" s="296" t="s">
        <v>1846</v>
      </c>
      <c r="P550" s="252">
        <f>(C10)</f>
        <v>999</v>
      </c>
      <c r="Q550" s="296" t="s">
        <v>868</v>
      </c>
      <c r="R550" s="252">
        <f>(M550*P550)</f>
        <v>999</v>
      </c>
      <c r="S550" s="253" t="s">
        <v>1128</v>
      </c>
      <c r="T550" s="252" t="s">
        <v>2251</v>
      </c>
      <c r="U550" s="389" t="s">
        <v>6089</v>
      </c>
      <c r="W550" s="253"/>
      <c r="Y550" s="253" t="s">
        <v>1128</v>
      </c>
      <c r="Z550" s="252" t="s">
        <v>2251</v>
      </c>
      <c r="AA550" s="1161" t="s">
        <v>6090</v>
      </c>
      <c r="AB550" s="1161"/>
      <c r="AC550" s="296"/>
      <c r="AE550" s="370" t="str">
        <f t="shared" si="59"/>
        <v>*</v>
      </c>
      <c r="AF550" s="253" t="s">
        <v>1128</v>
      </c>
      <c r="AG550" s="252" t="s">
        <v>2251</v>
      </c>
      <c r="AH550" s="1161" t="s">
        <v>6091</v>
      </c>
      <c r="AI550" s="1161"/>
      <c r="AJ550" s="296"/>
    </row>
    <row r="551" spans="1:37" ht="20.25"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0.25"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3993</v>
      </c>
      <c r="V552" s="252">
        <f>V528</f>
        <v>7416.56</v>
      </c>
      <c r="W552" s="253" t="s">
        <v>869</v>
      </c>
      <c r="X552" s="252">
        <f>(S552*V552)</f>
        <v>222.5</v>
      </c>
      <c r="Y552" s="252">
        <v>0.03</v>
      </c>
      <c r="Z552" s="252" t="s">
        <v>869</v>
      </c>
      <c r="AA552" s="296" t="s">
        <v>3993</v>
      </c>
      <c r="AB552" s="252">
        <f>AB528</f>
        <v>7960.83</v>
      </c>
      <c r="AC552" s="296" t="s">
        <v>869</v>
      </c>
      <c r="AD552" s="252">
        <f>(Y552*AB552)</f>
        <v>238.82</v>
      </c>
      <c r="AE552" s="370" t="str">
        <f t="shared" si="59"/>
        <v>CUM</v>
      </c>
      <c r="AF552" s="316">
        <v>7.3999999999999996E-2</v>
      </c>
      <c r="AG552" s="252" t="s">
        <v>869</v>
      </c>
      <c r="AH552" s="296" t="s">
        <v>3993</v>
      </c>
      <c r="AI552" s="252">
        <f>AI528</f>
        <v>8105.74</v>
      </c>
      <c r="AJ552" s="296" t="s">
        <v>869</v>
      </c>
      <c r="AK552" s="252">
        <f>(AF552*AI552)</f>
        <v>599.82000000000005</v>
      </c>
    </row>
    <row r="553" spans="1:37" ht="20.25"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0.25"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0.25" customHeight="1">
      <c r="A555" s="363">
        <f t="shared" si="55"/>
        <v>372</v>
      </c>
      <c r="B555" s="365" t="s">
        <v>1130</v>
      </c>
      <c r="C555" s="314">
        <v>13.29</v>
      </c>
      <c r="D555" s="365" t="s">
        <v>868</v>
      </c>
      <c r="H555" s="296" t="s">
        <v>1748</v>
      </c>
      <c r="K555" s="252">
        <f>SUM(K550:K553)</f>
        <v>1207.05</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0.25"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0.25" customHeight="1">
      <c r="A557" s="363">
        <f t="shared" si="55"/>
        <v>374</v>
      </c>
      <c r="B557" s="365" t="s">
        <v>1132</v>
      </c>
      <c r="C557" s="314">
        <v>14.69</v>
      </c>
      <c r="D557" s="365" t="s">
        <v>868</v>
      </c>
      <c r="H557" s="296" t="s">
        <v>552</v>
      </c>
      <c r="K557" s="252">
        <f>(K555/0.743)</f>
        <v>1624.56</v>
      </c>
      <c r="O557" s="296" t="s">
        <v>1850</v>
      </c>
      <c r="R557" s="252">
        <f>SUM(R537:R555)</f>
        <v>5525.1</v>
      </c>
      <c r="S557" s="252"/>
      <c r="U557" s="296" t="s">
        <v>1748</v>
      </c>
      <c r="W557" s="253"/>
      <c r="X557" s="252">
        <f>SUM(X552:X555)</f>
        <v>1210.25</v>
      </c>
      <c r="AA557" s="296" t="s">
        <v>1748</v>
      </c>
      <c r="AC557" s="296"/>
      <c r="AD557" s="252">
        <f>SUM(AD552:AD555)</f>
        <v>1226.57</v>
      </c>
      <c r="AE557" s="370">
        <f t="shared" si="59"/>
        <v>0</v>
      </c>
      <c r="AH557" s="296" t="s">
        <v>1748</v>
      </c>
      <c r="AJ557" s="296"/>
      <c r="AK557" s="252">
        <f>SUM(AK552:AK555)</f>
        <v>1587.57</v>
      </c>
    </row>
    <row r="558" spans="1:37" ht="20.25"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0.25" customHeight="1">
      <c r="A559" s="363">
        <f t="shared" si="55"/>
        <v>376</v>
      </c>
      <c r="B559" s="365" t="s">
        <v>952</v>
      </c>
      <c r="C559" s="314">
        <v>10.3</v>
      </c>
      <c r="D559" s="365" t="s">
        <v>868</v>
      </c>
      <c r="H559" s="296" t="s">
        <v>386</v>
      </c>
      <c r="I559" s="252">
        <f>K557</f>
        <v>1624.56</v>
      </c>
      <c r="J559" s="296">
        <f>C22*0.03/0.743</f>
        <v>4.84</v>
      </c>
      <c r="K559" s="274">
        <f>I559+J559</f>
        <v>1629.4</v>
      </c>
      <c r="M559" s="252">
        <f>0.47*38.5</f>
        <v>18.100000000000001</v>
      </c>
      <c r="O559" s="296" t="s">
        <v>1545</v>
      </c>
      <c r="R559" s="252">
        <f>(R557/30)</f>
        <v>184.17</v>
      </c>
      <c r="S559" s="252"/>
      <c r="U559" s="296" t="s">
        <v>3994</v>
      </c>
      <c r="W559" s="253"/>
      <c r="X559" s="274">
        <f>(X557/0.743)</f>
        <v>1628.87</v>
      </c>
      <c r="AA559" s="296" t="s">
        <v>3994</v>
      </c>
      <c r="AC559" s="296"/>
      <c r="AD559" s="274">
        <f>(AD557/0.743)</f>
        <v>1650.83</v>
      </c>
      <c r="AE559" s="370">
        <f t="shared" si="59"/>
        <v>0</v>
      </c>
      <c r="AH559" s="296" t="s">
        <v>3994</v>
      </c>
      <c r="AJ559" s="296"/>
      <c r="AK559" s="274">
        <f>(AK557/0.743)</f>
        <v>2136.6999999999998</v>
      </c>
    </row>
    <row r="560" spans="1:37" ht="20.25" customHeight="1">
      <c r="A560" s="363">
        <f t="shared" si="55"/>
        <v>377</v>
      </c>
      <c r="B560" s="365" t="s">
        <v>744</v>
      </c>
      <c r="C560" s="314">
        <v>19.05</v>
      </c>
      <c r="D560" s="365" t="s">
        <v>868</v>
      </c>
      <c r="H560" s="296" t="s">
        <v>388</v>
      </c>
      <c r="I560" s="252">
        <f>K559</f>
        <v>1629.4</v>
      </c>
      <c r="J560" s="296">
        <f>C23*0.03/0.743</f>
        <v>9.5299999999999994</v>
      </c>
      <c r="K560" s="274">
        <f>I560+J560</f>
        <v>1638.93</v>
      </c>
      <c r="M560" s="252">
        <f>0.24*546</f>
        <v>131.04</v>
      </c>
      <c r="R560" s="358" t="s">
        <v>1586</v>
      </c>
      <c r="S560" s="252"/>
      <c r="W560" s="253"/>
      <c r="X560" s="358" t="s">
        <v>2055</v>
      </c>
      <c r="AC560" s="296"/>
      <c r="AD560" s="358" t="s">
        <v>2055</v>
      </c>
      <c r="AE560" s="370">
        <f t="shared" si="59"/>
        <v>0</v>
      </c>
      <c r="AJ560" s="296"/>
      <c r="AK560" s="358" t="s">
        <v>2055</v>
      </c>
    </row>
    <row r="561" spans="1:37" ht="20.25" customHeight="1">
      <c r="A561" s="363">
        <f t="shared" si="55"/>
        <v>378</v>
      </c>
      <c r="B561" s="365" t="s">
        <v>1663</v>
      </c>
      <c r="C561" s="314">
        <v>15.34</v>
      </c>
      <c r="D561" s="365" t="s">
        <v>868</v>
      </c>
      <c r="H561" s="296" t="s">
        <v>2232</v>
      </c>
      <c r="I561" s="252">
        <f>K560</f>
        <v>1638.93</v>
      </c>
      <c r="J561" s="296">
        <f>J560</f>
        <v>9.5299999999999994</v>
      </c>
      <c r="K561" s="274">
        <f>I561+J561</f>
        <v>1648.46</v>
      </c>
      <c r="M561" s="252">
        <f>0.24*143.6</f>
        <v>34.46</v>
      </c>
      <c r="N561" s="296" t="s">
        <v>2251</v>
      </c>
      <c r="O561" s="296" t="s">
        <v>2047</v>
      </c>
      <c r="S561" s="252"/>
      <c r="U561" s="296" t="s">
        <v>386</v>
      </c>
      <c r="V561" s="252">
        <f>X559</f>
        <v>1628.87</v>
      </c>
      <c r="W561" s="253">
        <f>J559</f>
        <v>4.84</v>
      </c>
      <c r="X561" s="274">
        <f>V561+W561</f>
        <v>1633.71</v>
      </c>
      <c r="AA561" s="296" t="s">
        <v>386</v>
      </c>
      <c r="AB561" s="252">
        <f>AD559</f>
        <v>1650.83</v>
      </c>
      <c r="AC561" s="296">
        <f t="shared" ref="AC561:AC566" si="72">W561</f>
        <v>4.84</v>
      </c>
      <c r="AD561" s="274">
        <f t="shared" ref="AD561:AD566" si="73">AB561+AC561</f>
        <v>1655.67</v>
      </c>
      <c r="AE561" s="370">
        <f t="shared" si="59"/>
        <v>0</v>
      </c>
      <c r="AH561" s="296" t="s">
        <v>386</v>
      </c>
      <c r="AI561" s="252">
        <f>AK559</f>
        <v>2136.6999999999998</v>
      </c>
      <c r="AJ561" s="296">
        <f t="shared" ref="AJ561:AJ566" si="74">AC561</f>
        <v>4.84</v>
      </c>
      <c r="AK561" s="274">
        <f t="shared" ref="AK561:AK566" si="75">AI561+AJ561</f>
        <v>2141.54</v>
      </c>
    </row>
    <row r="562" spans="1:37" ht="20.25" customHeight="1">
      <c r="A562" s="363">
        <f t="shared" si="55"/>
        <v>379</v>
      </c>
      <c r="B562" s="365" t="s">
        <v>1865</v>
      </c>
      <c r="C562" s="314">
        <v>29.41</v>
      </c>
      <c r="D562" s="365" t="s">
        <v>868</v>
      </c>
      <c r="H562" s="296" t="s">
        <v>380</v>
      </c>
      <c r="I562" s="252">
        <f>K561</f>
        <v>1648.46</v>
      </c>
      <c r="J562" s="296">
        <f>J561</f>
        <v>9.5299999999999994</v>
      </c>
      <c r="K562" s="274">
        <f>I562+J562</f>
        <v>1657.99</v>
      </c>
      <c r="M562" s="252">
        <f>0.79*328.9</f>
        <v>259.83</v>
      </c>
      <c r="O562" s="296" t="s">
        <v>1866</v>
      </c>
      <c r="S562" s="252"/>
      <c r="U562" s="296" t="s">
        <v>388</v>
      </c>
      <c r="V562" s="252">
        <f>X561</f>
        <v>1633.71</v>
      </c>
      <c r="W562" s="253">
        <f>J560</f>
        <v>9.5299999999999994</v>
      </c>
      <c r="X562" s="274">
        <f>V562+W562</f>
        <v>1643.24</v>
      </c>
      <c r="AA562" s="296" t="s">
        <v>388</v>
      </c>
      <c r="AB562" s="252">
        <f>AD561</f>
        <v>1655.67</v>
      </c>
      <c r="AC562" s="296">
        <f t="shared" si="72"/>
        <v>9.5299999999999994</v>
      </c>
      <c r="AD562" s="274">
        <f t="shared" si="73"/>
        <v>1665.2</v>
      </c>
      <c r="AE562" s="370">
        <f t="shared" si="59"/>
        <v>0</v>
      </c>
      <c r="AH562" s="296" t="s">
        <v>388</v>
      </c>
      <c r="AI562" s="252">
        <f>AK561</f>
        <v>2141.54</v>
      </c>
      <c r="AJ562" s="296">
        <f t="shared" si="74"/>
        <v>9.5299999999999994</v>
      </c>
      <c r="AK562" s="274">
        <f t="shared" si="75"/>
        <v>2151.0700000000002</v>
      </c>
    </row>
    <row r="563" spans="1:37" ht="20.25" customHeight="1">
      <c r="A563" s="364"/>
      <c r="B563" s="364"/>
      <c r="C563" s="314"/>
      <c r="D563" s="364"/>
      <c r="F563" s="296" t="s">
        <v>975</v>
      </c>
      <c r="H563" s="296" t="s">
        <v>388</v>
      </c>
      <c r="I563" s="252">
        <f>K562</f>
        <v>1657.99</v>
      </c>
      <c r="J563" s="296">
        <f>J562</f>
        <v>9.5299999999999994</v>
      </c>
      <c r="K563" s="274">
        <f>I563+J563</f>
        <v>1667.52</v>
      </c>
      <c r="M563" s="252">
        <f>SUM(M559:M562)</f>
        <v>443.43</v>
      </c>
      <c r="S563" s="252"/>
      <c r="U563" s="296" t="s">
        <v>2232</v>
      </c>
      <c r="V563" s="252">
        <f>X562</f>
        <v>1643.24</v>
      </c>
      <c r="W563" s="253">
        <f>J561</f>
        <v>9.5299999999999994</v>
      </c>
      <c r="X563" s="274">
        <f>V563+W563</f>
        <v>1652.77</v>
      </c>
      <c r="AA563" s="296" t="s">
        <v>2232</v>
      </c>
      <c r="AB563" s="252">
        <f>AD562</f>
        <v>1665.2</v>
      </c>
      <c r="AC563" s="296">
        <f t="shared" si="72"/>
        <v>9.5299999999999994</v>
      </c>
      <c r="AD563" s="274">
        <f t="shared" si="73"/>
        <v>1674.73</v>
      </c>
      <c r="AE563" s="370">
        <f t="shared" si="59"/>
        <v>0</v>
      </c>
      <c r="AH563" s="296" t="s">
        <v>2232</v>
      </c>
      <c r="AI563" s="252">
        <f>AK562</f>
        <v>2151.0700000000002</v>
      </c>
      <c r="AJ563" s="296">
        <f t="shared" si="74"/>
        <v>9.5299999999999994</v>
      </c>
      <c r="AK563" s="274">
        <f t="shared" si="75"/>
        <v>2160.6</v>
      </c>
    </row>
    <row r="564" spans="1:37" ht="20.25" customHeight="1">
      <c r="A564" s="363">
        <f>(A562+1)</f>
        <v>380</v>
      </c>
      <c r="B564" s="365" t="s">
        <v>1131</v>
      </c>
      <c r="C564" s="314">
        <v>38.35</v>
      </c>
      <c r="D564" s="365" t="s">
        <v>868</v>
      </c>
      <c r="H564" s="296">
        <v>5</v>
      </c>
      <c r="I564" s="252">
        <f t="shared" ref="I564:I569" si="76">K563</f>
        <v>1667.52</v>
      </c>
      <c r="J564" s="296">
        <f t="shared" ref="J564:J571" si="77">J563</f>
        <v>9.5299999999999994</v>
      </c>
      <c r="K564" s="274">
        <f t="shared" ref="K564:K569" si="78">I564+J564</f>
        <v>1677.05</v>
      </c>
      <c r="O564" s="296" t="s">
        <v>153</v>
      </c>
      <c r="S564" s="252"/>
      <c r="U564" s="296" t="s">
        <v>380</v>
      </c>
      <c r="V564" s="252">
        <f>X563</f>
        <v>1652.77</v>
      </c>
      <c r="W564" s="253">
        <f>J562</f>
        <v>9.5299999999999994</v>
      </c>
      <c r="X564" s="274">
        <f>V564+W564</f>
        <v>1662.3</v>
      </c>
      <c r="AA564" s="296" t="s">
        <v>380</v>
      </c>
      <c r="AB564" s="252">
        <f>AD563</f>
        <v>1674.73</v>
      </c>
      <c r="AC564" s="296">
        <f t="shared" si="72"/>
        <v>9.5299999999999994</v>
      </c>
      <c r="AD564" s="274">
        <f t="shared" si="73"/>
        <v>1684.26</v>
      </c>
      <c r="AE564" s="370">
        <f t="shared" si="59"/>
        <v>0</v>
      </c>
      <c r="AH564" s="296" t="s">
        <v>380</v>
      </c>
      <c r="AI564" s="252">
        <f>AK563</f>
        <v>2160.6</v>
      </c>
      <c r="AJ564" s="296">
        <f t="shared" si="74"/>
        <v>9.5299999999999994</v>
      </c>
      <c r="AK564" s="274">
        <f t="shared" si="75"/>
        <v>2170.13</v>
      </c>
    </row>
    <row r="565" spans="1:37" ht="20.25" customHeight="1">
      <c r="A565" s="363"/>
      <c r="B565" s="365"/>
      <c r="C565" s="364"/>
      <c r="D565" s="365"/>
      <c r="H565" s="296">
        <v>6</v>
      </c>
      <c r="I565" s="252">
        <f t="shared" si="76"/>
        <v>1677.05</v>
      </c>
      <c r="J565" s="296">
        <f t="shared" si="77"/>
        <v>9.5299999999999994</v>
      </c>
      <c r="K565" s="274">
        <f t="shared" si="78"/>
        <v>1686.58</v>
      </c>
      <c r="O565" s="296"/>
      <c r="S565" s="296" t="s">
        <v>975</v>
      </c>
      <c r="U565" s="296" t="s">
        <v>4010</v>
      </c>
      <c r="V565" s="252">
        <f>X564</f>
        <v>1662.3</v>
      </c>
      <c r="W565" s="253">
        <f>J563</f>
        <v>9.5299999999999994</v>
      </c>
      <c r="X565" s="274">
        <f>V565+W565</f>
        <v>1671.83</v>
      </c>
      <c r="AA565" s="296" t="s">
        <v>388</v>
      </c>
      <c r="AB565" s="252">
        <f>AD564</f>
        <v>1684.26</v>
      </c>
      <c r="AC565" s="296">
        <f t="shared" si="72"/>
        <v>9.5299999999999994</v>
      </c>
      <c r="AD565" s="274">
        <f t="shared" si="73"/>
        <v>1693.79</v>
      </c>
      <c r="AE565" s="370"/>
      <c r="AH565" s="296" t="s">
        <v>388</v>
      </c>
      <c r="AI565" s="252">
        <f>AK564</f>
        <v>2170.13</v>
      </c>
      <c r="AJ565" s="296">
        <f t="shared" si="74"/>
        <v>9.5299999999999994</v>
      </c>
      <c r="AK565" s="274">
        <f t="shared" si="75"/>
        <v>2179.66</v>
      </c>
    </row>
    <row r="566" spans="1:37" ht="20.25" customHeight="1">
      <c r="A566" s="363"/>
      <c r="B566" s="365"/>
      <c r="C566" s="364"/>
      <c r="D566" s="365"/>
      <c r="H566" s="296">
        <v>7</v>
      </c>
      <c r="I566" s="252">
        <f t="shared" si="76"/>
        <v>1686.58</v>
      </c>
      <c r="J566" s="296">
        <f t="shared" si="77"/>
        <v>9.5299999999999994</v>
      </c>
      <c r="K566" s="274">
        <f t="shared" si="78"/>
        <v>1696.11</v>
      </c>
      <c r="O566" s="296"/>
      <c r="W566" s="253"/>
      <c r="AA566" s="296" t="s">
        <v>2232</v>
      </c>
      <c r="AB566" s="252">
        <f>AD565</f>
        <v>1693.79</v>
      </c>
      <c r="AC566" s="296">
        <f t="shared" si="72"/>
        <v>0</v>
      </c>
      <c r="AD566" s="274">
        <f t="shared" si="73"/>
        <v>1693.79</v>
      </c>
      <c r="AE566" s="370"/>
      <c r="AH566" s="296" t="s">
        <v>2232</v>
      </c>
      <c r="AI566" s="252">
        <f>AK565</f>
        <v>2179.66</v>
      </c>
      <c r="AJ566" s="296">
        <f t="shared" si="74"/>
        <v>0</v>
      </c>
      <c r="AK566" s="274">
        <f t="shared" si="75"/>
        <v>2179.66</v>
      </c>
    </row>
    <row r="567" spans="1:37" ht="20.25" customHeight="1">
      <c r="A567" s="363"/>
      <c r="B567" s="365"/>
      <c r="C567" s="364"/>
      <c r="D567" s="365"/>
      <c r="H567" s="296">
        <v>8</v>
      </c>
      <c r="I567" s="252">
        <f t="shared" si="76"/>
        <v>1696.11</v>
      </c>
      <c r="J567" s="296">
        <f t="shared" si="77"/>
        <v>9.5299999999999994</v>
      </c>
      <c r="K567" s="274">
        <f t="shared" si="78"/>
        <v>1705.64</v>
      </c>
      <c r="O567" s="296"/>
      <c r="W567" s="253"/>
      <c r="AE567" s="370"/>
      <c r="AG567" s="296"/>
    </row>
    <row r="568" spans="1:37" ht="20.25" customHeight="1">
      <c r="A568" s="363"/>
      <c r="B568" s="365"/>
      <c r="C568" s="364"/>
      <c r="D568" s="365"/>
      <c r="H568" s="296">
        <v>9</v>
      </c>
      <c r="I568" s="252">
        <f t="shared" si="76"/>
        <v>1705.64</v>
      </c>
      <c r="J568" s="296">
        <f t="shared" si="77"/>
        <v>9.5299999999999994</v>
      </c>
      <c r="K568" s="274">
        <f t="shared" si="78"/>
        <v>1715.17</v>
      </c>
      <c r="O568" s="296"/>
      <c r="W568" s="253"/>
      <c r="AE568" s="370"/>
      <c r="AG568" s="296"/>
    </row>
    <row r="569" spans="1:37" ht="20.25" customHeight="1">
      <c r="A569" s="363"/>
      <c r="B569" s="365"/>
      <c r="C569" s="364"/>
      <c r="D569" s="365"/>
      <c r="H569" s="296">
        <v>10</v>
      </c>
      <c r="I569" s="252">
        <f t="shared" si="76"/>
        <v>1715.17</v>
      </c>
      <c r="J569" s="296">
        <f t="shared" si="77"/>
        <v>9.5299999999999994</v>
      </c>
      <c r="K569" s="274">
        <f t="shared" si="78"/>
        <v>1724.7</v>
      </c>
      <c r="O569" s="296"/>
      <c r="W569" s="253"/>
      <c r="AE569" s="370"/>
      <c r="AG569" s="296"/>
    </row>
    <row r="570" spans="1:37" ht="20.25" customHeight="1">
      <c r="A570" s="363"/>
      <c r="B570" s="365"/>
      <c r="C570" s="364"/>
      <c r="D570" s="365"/>
      <c r="H570" s="296">
        <v>11</v>
      </c>
      <c r="I570" s="252">
        <f>K569</f>
        <v>1724.7</v>
      </c>
      <c r="J570" s="296">
        <f t="shared" si="77"/>
        <v>9.5299999999999994</v>
      </c>
      <c r="K570" s="274">
        <f>I570+J570</f>
        <v>1734.23</v>
      </c>
      <c r="O570" s="296"/>
      <c r="W570" s="253"/>
      <c r="AE570" s="370"/>
      <c r="AG570" s="296"/>
    </row>
    <row r="571" spans="1:37" ht="20.25" customHeight="1">
      <c r="A571" s="363"/>
      <c r="B571" s="365"/>
      <c r="C571" s="364"/>
      <c r="D571" s="365"/>
      <c r="H571" s="296">
        <v>12</v>
      </c>
      <c r="I571" s="252">
        <f>K570</f>
        <v>1734.23</v>
      </c>
      <c r="J571" s="296">
        <f t="shared" si="77"/>
        <v>9.5299999999999994</v>
      </c>
      <c r="K571" s="274">
        <f>I571+J571</f>
        <v>1743.76</v>
      </c>
      <c r="O571" s="296"/>
      <c r="W571" s="253"/>
      <c r="AE571" s="370"/>
      <c r="AG571" s="296"/>
    </row>
    <row r="572" spans="1:37" ht="20.25" customHeight="1">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0.25"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0.25"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0.25"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0.25"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0.25"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0.25"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0.25"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0.25"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0.25"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0.25"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0.25" customHeight="1">
      <c r="A583" s="363">
        <f t="shared" si="79"/>
        <v>392</v>
      </c>
      <c r="B583" s="365" t="s">
        <v>5287</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0.25"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0.25" customHeight="1">
      <c r="A585" s="363">
        <f t="shared" si="79"/>
        <v>394</v>
      </c>
      <c r="B585" s="296" t="s">
        <v>5288</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0.25" customHeight="1">
      <c r="A586" s="363">
        <f t="shared" si="79"/>
        <v>395</v>
      </c>
      <c r="B586" s="365" t="s">
        <v>5852</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0.25"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0.25"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0.25"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0.25"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34.83</v>
      </c>
      <c r="X590" s="274">
        <f>X589+V590</f>
        <v>589.79</v>
      </c>
      <c r="Y590" s="252">
        <f>X595+V594</f>
        <v>646.42999999999995</v>
      </c>
      <c r="AE590" s="370" t="str">
        <f t="shared" si="59"/>
        <v>|</v>
      </c>
      <c r="AG590" s="296" t="s">
        <v>2259</v>
      </c>
    </row>
    <row r="591" spans="1:33" ht="20.25"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20.34</v>
      </c>
      <c r="X591" s="274">
        <f>X590+V591</f>
        <v>599.23</v>
      </c>
      <c r="Y591" s="252">
        <f>Y590+V594</f>
        <v>655.87</v>
      </c>
      <c r="AE591" s="370" t="str">
        <f t="shared" si="59"/>
        <v>|</v>
      </c>
      <c r="AG591" s="296" t="s">
        <v>2259</v>
      </c>
    </row>
    <row r="592" spans="1:33" ht="20.25" customHeight="1">
      <c r="A592" s="363">
        <f t="shared" si="80"/>
        <v>401</v>
      </c>
      <c r="B592" s="365" t="s">
        <v>5853</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20.34</v>
      </c>
      <c r="X592" s="274">
        <f>X591+V592</f>
        <v>608.66999999999996</v>
      </c>
      <c r="Y592" s="252">
        <f>Y591+V594</f>
        <v>665.31</v>
      </c>
      <c r="AE592" s="370" t="str">
        <f t="shared" si="59"/>
        <v>|</v>
      </c>
      <c r="AG592" s="296" t="s">
        <v>2259</v>
      </c>
    </row>
    <row r="593" spans="1:33" ht="20.25" customHeight="1">
      <c r="A593" s="363">
        <f t="shared" si="80"/>
        <v>402</v>
      </c>
      <c r="B593" s="365" t="s">
        <v>5854</v>
      </c>
      <c r="C593" s="362">
        <v>995</v>
      </c>
      <c r="D593" s="365" t="s">
        <v>868</v>
      </c>
      <c r="H593" s="296" t="s">
        <v>380</v>
      </c>
      <c r="I593" s="252">
        <f t="shared" si="81"/>
        <v>565.54</v>
      </c>
      <c r="J593" s="296">
        <f>C23*0.02</f>
        <v>4.72</v>
      </c>
      <c r="K593" s="274">
        <f>I593+J593</f>
        <v>570.26</v>
      </c>
      <c r="O593" s="358" t="s">
        <v>1586</v>
      </c>
      <c r="U593" s="296" t="s">
        <v>380</v>
      </c>
      <c r="V593" s="252">
        <f>J615</f>
        <v>9.44</v>
      </c>
      <c r="W593" s="253">
        <f>P23*0.02</f>
        <v>20.34</v>
      </c>
      <c r="X593" s="274">
        <f>X592+V593</f>
        <v>618.11</v>
      </c>
      <c r="Y593" s="252">
        <f>Y592+V594</f>
        <v>674.75</v>
      </c>
      <c r="AE593" s="370" t="str">
        <f t="shared" si="59"/>
        <v>|</v>
      </c>
      <c r="AG593" s="296" t="s">
        <v>2259</v>
      </c>
    </row>
    <row r="594" spans="1:33" ht="20.25"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20.34</v>
      </c>
      <c r="X594" s="274">
        <f>X593+V594</f>
        <v>627.54999999999995</v>
      </c>
      <c r="Y594" s="252">
        <f>Y593+V594</f>
        <v>684.19</v>
      </c>
      <c r="AE594" s="370" t="str">
        <f t="shared" si="59"/>
        <v>|::</v>
      </c>
      <c r="AG594" s="296" t="s">
        <v>321</v>
      </c>
    </row>
    <row r="595" spans="1:33" ht="20.25"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0.25"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4047</v>
      </c>
      <c r="Q596" s="296" t="s">
        <v>869</v>
      </c>
      <c r="R596" s="252">
        <f>(M596*P596)</f>
        <v>874.15</v>
      </c>
      <c r="W596" s="253"/>
      <c r="AE596" s="370">
        <f t="shared" si="59"/>
        <v>0</v>
      </c>
    </row>
    <row r="597" spans="1:33" ht="20.25" customHeight="1">
      <c r="A597" s="363">
        <f t="shared" si="80"/>
        <v>405</v>
      </c>
      <c r="B597" s="365" t="s">
        <v>4580</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6532.36</v>
      </c>
      <c r="Q597" s="296" t="s">
        <v>869</v>
      </c>
      <c r="R597" s="252">
        <f>(M597*P597)</f>
        <v>3181.26</v>
      </c>
      <c r="W597" s="253"/>
      <c r="AE597" s="370" t="str">
        <f t="shared" ref="AE597:AE637" si="83">AG597</f>
        <v>|</v>
      </c>
      <c r="AG597" s="296" t="s">
        <v>2259</v>
      </c>
    </row>
    <row r="598" spans="1:33" ht="20.25" customHeight="1">
      <c r="A598" s="363">
        <f t="shared" si="80"/>
        <v>406</v>
      </c>
      <c r="B598" s="365" t="s">
        <v>5855</v>
      </c>
      <c r="C598" s="362">
        <v>57.65</v>
      </c>
      <c r="D598" s="362">
        <v>49.55</v>
      </c>
      <c r="E598" s="252" t="s">
        <v>5289</v>
      </c>
      <c r="H598" s="296" t="s">
        <v>3565</v>
      </c>
      <c r="I598" s="252">
        <f t="shared" si="81"/>
        <v>589.14</v>
      </c>
      <c r="J598" s="296">
        <f>C23*0.02</f>
        <v>4.72</v>
      </c>
      <c r="K598" s="274">
        <f t="shared" si="82"/>
        <v>593.86</v>
      </c>
      <c r="M598" s="356">
        <v>5.36</v>
      </c>
      <c r="N598" s="296" t="s">
        <v>609</v>
      </c>
      <c r="O598" s="296" t="s">
        <v>1977</v>
      </c>
      <c r="P598" s="252">
        <f>(R304)</f>
        <v>267.77999999999997</v>
      </c>
      <c r="Q598" s="296" t="s">
        <v>609</v>
      </c>
      <c r="R598" s="252">
        <f>(M598*P598)</f>
        <v>1435.3</v>
      </c>
      <c r="W598" s="253"/>
      <c r="AE598" s="370" t="str">
        <f t="shared" si="83"/>
        <v>|</v>
      </c>
      <c r="AG598" s="296" t="s">
        <v>2259</v>
      </c>
    </row>
    <row r="599" spans="1:33" ht="20.25"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8069</v>
      </c>
      <c r="Q599" s="296" t="s">
        <v>869</v>
      </c>
      <c r="R599" s="252">
        <f>(M599*P599)</f>
        <v>258.20999999999998</v>
      </c>
      <c r="W599" s="253"/>
      <c r="AE599" s="370" t="str">
        <f t="shared" si="83"/>
        <v>|</v>
      </c>
      <c r="AG599" s="296" t="s">
        <v>2259</v>
      </c>
    </row>
    <row r="600" spans="1:33" ht="20.25"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20.25" customHeight="1">
      <c r="A601" s="363">
        <f t="shared" si="80"/>
        <v>409</v>
      </c>
      <c r="B601" s="417" t="s">
        <v>5290</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20.25" customHeight="1">
      <c r="A602" s="363">
        <f t="shared" si="80"/>
        <v>410</v>
      </c>
      <c r="B602" s="389" t="s">
        <v>6092</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0.25" customHeight="1">
      <c r="A603" s="363">
        <f t="shared" si="80"/>
        <v>411</v>
      </c>
      <c r="B603" s="365" t="s">
        <v>341</v>
      </c>
      <c r="C603" s="314">
        <v>75</v>
      </c>
      <c r="D603" s="365" t="s">
        <v>868</v>
      </c>
      <c r="H603" s="296" t="s">
        <v>2281</v>
      </c>
      <c r="O603" s="296" t="s">
        <v>1751</v>
      </c>
      <c r="R603" s="252">
        <f>SUM(R595:R601)</f>
        <v>6007.63</v>
      </c>
      <c r="W603" s="253"/>
      <c r="AE603" s="370" t="str">
        <f t="shared" si="83"/>
        <v>|</v>
      </c>
      <c r="AG603" s="296" t="s">
        <v>2259</v>
      </c>
    </row>
    <row r="604" spans="1:33" ht="20.25"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0.25"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0.25"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0.25" customHeight="1">
      <c r="A607" s="363">
        <f t="shared" si="80"/>
        <v>415</v>
      </c>
      <c r="B607" s="296" t="s">
        <v>5856</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0.25" customHeight="1">
      <c r="A608" s="363">
        <f t="shared" si="80"/>
        <v>416</v>
      </c>
      <c r="B608" s="296" t="s">
        <v>5291</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0.25" customHeight="1">
      <c r="A609" s="363"/>
      <c r="B609" s="296" t="s">
        <v>5292</v>
      </c>
      <c r="C609" s="362">
        <v>22.6</v>
      </c>
      <c r="D609" s="365" t="s">
        <v>1645</v>
      </c>
      <c r="H609" s="296" t="s">
        <v>931</v>
      </c>
      <c r="K609" s="358" t="s">
        <v>1586</v>
      </c>
      <c r="N609" s="296"/>
      <c r="O609" s="296"/>
      <c r="Q609" s="296"/>
      <c r="W609" s="253"/>
      <c r="AE609" s="370" t="str">
        <f t="shared" si="83"/>
        <v>|</v>
      </c>
      <c r="AG609" s="296" t="s">
        <v>2259</v>
      </c>
    </row>
    <row r="610" spans="1:33" ht="20.25" customHeight="1">
      <c r="A610" s="363">
        <f>(A608+1)</f>
        <v>417</v>
      </c>
      <c r="B610" s="296" t="s">
        <v>5293</v>
      </c>
      <c r="C610" s="362">
        <v>27.25</v>
      </c>
      <c r="D610" s="365" t="s">
        <v>1645</v>
      </c>
      <c r="H610" s="253" t="s">
        <v>1750</v>
      </c>
      <c r="K610" s="252">
        <f>SUM(K604:K608)</f>
        <v>2068</v>
      </c>
      <c r="M610" s="356">
        <v>0.216</v>
      </c>
      <c r="N610" s="296" t="s">
        <v>869</v>
      </c>
      <c r="O610" s="296" t="s">
        <v>789</v>
      </c>
      <c r="P610" s="252">
        <f>(R60)</f>
        <v>4047</v>
      </c>
      <c r="Q610" s="296" t="s">
        <v>869</v>
      </c>
      <c r="R610" s="252">
        <f>(M610*P610)</f>
        <v>874.15</v>
      </c>
      <c r="W610" s="253"/>
      <c r="AE610" s="370">
        <f t="shared" si="83"/>
        <v>0</v>
      </c>
      <c r="AG610" s="296"/>
    </row>
    <row r="611" spans="1:33" ht="20.25" customHeight="1">
      <c r="A611" s="363">
        <f t="shared" si="80"/>
        <v>418</v>
      </c>
      <c r="B611" s="365" t="s">
        <v>4581</v>
      </c>
      <c r="C611" s="314">
        <v>7.5</v>
      </c>
      <c r="D611" s="365" t="s">
        <v>769</v>
      </c>
      <c r="K611" s="358" t="s">
        <v>1586</v>
      </c>
      <c r="M611" s="356">
        <v>0.60099999999999998</v>
      </c>
      <c r="N611" s="296" t="s">
        <v>869</v>
      </c>
      <c r="O611" s="296" t="s">
        <v>1976</v>
      </c>
      <c r="P611" s="252">
        <f>P597</f>
        <v>6532.36</v>
      </c>
      <c r="Q611" s="296" t="s">
        <v>869</v>
      </c>
      <c r="R611" s="252">
        <f>(M611*P611)</f>
        <v>3925.95</v>
      </c>
      <c r="W611" s="253"/>
      <c r="AE611" s="370" t="str">
        <f t="shared" si="83"/>
        <v>|</v>
      </c>
      <c r="AG611" s="296" t="s">
        <v>2259</v>
      </c>
    </row>
    <row r="612" spans="1:33" ht="20.25" customHeight="1">
      <c r="A612" s="363">
        <f t="shared" si="80"/>
        <v>419</v>
      </c>
      <c r="B612" s="365" t="s">
        <v>4582</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267.77999999999997</v>
      </c>
      <c r="Q612" s="296" t="s">
        <v>609</v>
      </c>
      <c r="R612" s="252">
        <f>(M612*P612)</f>
        <v>1700.4</v>
      </c>
      <c r="W612" s="253"/>
      <c r="AE612" s="370" t="str">
        <f t="shared" si="83"/>
        <v>|</v>
      </c>
      <c r="AG612" s="296" t="s">
        <v>2259</v>
      </c>
    </row>
    <row r="613" spans="1:33" ht="20.25" customHeight="1">
      <c r="A613" s="363">
        <f t="shared" si="80"/>
        <v>420</v>
      </c>
      <c r="B613" s="296" t="s">
        <v>5857</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8069</v>
      </c>
      <c r="Q613" s="296" t="s">
        <v>869</v>
      </c>
      <c r="R613" s="252">
        <f>(M613*P613)</f>
        <v>258.20999999999998</v>
      </c>
      <c r="W613" s="253"/>
      <c r="AE613" s="370" t="str">
        <f t="shared" si="83"/>
        <v>|</v>
      </c>
      <c r="AG613" s="296" t="s">
        <v>2259</v>
      </c>
    </row>
    <row r="614" spans="1:33" ht="20.25"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0.25"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0.25"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0.25" customHeight="1">
      <c r="A617" s="363">
        <f t="shared" si="80"/>
        <v>424</v>
      </c>
      <c r="B617" s="296" t="s">
        <v>5858</v>
      </c>
      <c r="C617" s="362">
        <v>1672</v>
      </c>
      <c r="D617" s="365" t="s">
        <v>769</v>
      </c>
      <c r="F617" s="375">
        <v>15.1</v>
      </c>
      <c r="G617" s="252" t="s">
        <v>1757</v>
      </c>
      <c r="H617" s="296" t="s">
        <v>6093</v>
      </c>
      <c r="O617" s="296" t="s">
        <v>1751</v>
      </c>
      <c r="R617" s="252">
        <f>SUM(R608:R615)</f>
        <v>7068.91</v>
      </c>
      <c r="W617" s="253"/>
      <c r="AE617" s="370" t="str">
        <f t="shared" si="83"/>
        <v>|</v>
      </c>
      <c r="AG617" s="296" t="s">
        <v>2259</v>
      </c>
    </row>
    <row r="618" spans="1:33" ht="20.25" customHeight="1">
      <c r="A618" s="363">
        <f t="shared" si="80"/>
        <v>425</v>
      </c>
      <c r="B618" s="365" t="s">
        <v>406</v>
      </c>
      <c r="C618" s="314">
        <v>196</v>
      </c>
      <c r="D618" s="365" t="s">
        <v>769</v>
      </c>
      <c r="H618" s="296" t="s">
        <v>2281</v>
      </c>
      <c r="R618" s="358" t="s">
        <v>1586</v>
      </c>
      <c r="W618" s="253"/>
      <c r="AE618" s="370" t="str">
        <f t="shared" si="83"/>
        <v>|</v>
      </c>
      <c r="AG618" s="296" t="s">
        <v>2259</v>
      </c>
    </row>
    <row r="619" spans="1:33" ht="20.25" customHeight="1">
      <c r="A619" s="363">
        <f t="shared" si="80"/>
        <v>426</v>
      </c>
      <c r="B619" s="296" t="s">
        <v>5294</v>
      </c>
      <c r="C619" s="362">
        <v>940</v>
      </c>
      <c r="D619" s="365" t="s">
        <v>769</v>
      </c>
      <c r="F619" s="252">
        <v>10</v>
      </c>
      <c r="G619" s="252" t="s">
        <v>2283</v>
      </c>
      <c r="H619" s="296" t="s">
        <v>4080</v>
      </c>
      <c r="I619" s="252">
        <f>C751</f>
        <v>376.7</v>
      </c>
      <c r="J619" s="296" t="s">
        <v>2283</v>
      </c>
      <c r="K619" s="252">
        <f>(F619*I619)</f>
        <v>3767</v>
      </c>
      <c r="N619" s="296" t="s">
        <v>2251</v>
      </c>
      <c r="O619" s="296" t="s">
        <v>409</v>
      </c>
      <c r="W619" s="253"/>
      <c r="AE619" s="370" t="str">
        <f t="shared" si="83"/>
        <v>|</v>
      </c>
      <c r="AG619" s="296" t="s">
        <v>2259</v>
      </c>
    </row>
    <row r="620" spans="1:33" ht="20.25" customHeight="1">
      <c r="A620" s="363">
        <f t="shared" si="80"/>
        <v>427</v>
      </c>
      <c r="B620" s="365" t="s">
        <v>410</v>
      </c>
      <c r="C620" s="314">
        <v>193.05</v>
      </c>
      <c r="D620" s="401">
        <v>120.54</v>
      </c>
      <c r="F620" s="252">
        <v>0.12</v>
      </c>
      <c r="G620" s="252" t="s">
        <v>869</v>
      </c>
      <c r="H620" s="296" t="s">
        <v>784</v>
      </c>
      <c r="I620" s="252">
        <f>K32</f>
        <v>4756.78</v>
      </c>
      <c r="J620" s="296" t="s">
        <v>869</v>
      </c>
      <c r="K620" s="252">
        <f>(F620*I620)</f>
        <v>570.80999999999995</v>
      </c>
      <c r="O620" s="296" t="s">
        <v>412</v>
      </c>
      <c r="W620" s="253"/>
      <c r="AE620" s="370" t="str">
        <f t="shared" si="83"/>
        <v>|</v>
      </c>
      <c r="AG620" s="296" t="s">
        <v>2259</v>
      </c>
    </row>
    <row r="621" spans="1:33" ht="20.25"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0.25"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0.25" customHeight="1">
      <c r="A623" s="363">
        <f t="shared" si="80"/>
        <v>430</v>
      </c>
      <c r="B623" s="365" t="s">
        <v>6094</v>
      </c>
      <c r="C623" s="420">
        <v>76</v>
      </c>
      <c r="D623" s="421" t="s">
        <v>868</v>
      </c>
      <c r="E623" s="422"/>
      <c r="G623" s="252" t="s">
        <v>449</v>
      </c>
      <c r="H623" s="296" t="s">
        <v>59</v>
      </c>
      <c r="J623" s="296" t="s">
        <v>449</v>
      </c>
      <c r="K623" s="252">
        <v>0.33</v>
      </c>
      <c r="M623" s="252">
        <v>0.65</v>
      </c>
      <c r="N623" s="296" t="s">
        <v>869</v>
      </c>
      <c r="O623" s="296" t="s">
        <v>2064</v>
      </c>
      <c r="P623" s="252">
        <f>R60</f>
        <v>4047</v>
      </c>
      <c r="Q623" s="296" t="s">
        <v>869</v>
      </c>
      <c r="R623" s="252">
        <f t="shared" si="84"/>
        <v>2630.55</v>
      </c>
      <c r="W623" s="253"/>
      <c r="AE623" s="370" t="str">
        <f t="shared" si="83"/>
        <v>|</v>
      </c>
      <c r="AG623" s="296" t="s">
        <v>2259</v>
      </c>
    </row>
    <row r="624" spans="1:33" ht="20.25"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6581.38</v>
      </c>
      <c r="Q624" s="296" t="s">
        <v>869</v>
      </c>
      <c r="R624" s="252">
        <f t="shared" si="84"/>
        <v>7502.77</v>
      </c>
      <c r="W624" s="253"/>
      <c r="AE624" s="370" t="str">
        <f t="shared" si="83"/>
        <v>|</v>
      </c>
      <c r="AG624" s="296" t="s">
        <v>2259</v>
      </c>
    </row>
    <row r="625" spans="1:33" ht="20.25" customHeight="1">
      <c r="A625" s="363">
        <f t="shared" si="80"/>
        <v>432</v>
      </c>
      <c r="B625" s="365" t="s">
        <v>328</v>
      </c>
      <c r="C625" s="423">
        <v>34.299999999999997</v>
      </c>
      <c r="D625" s="365" t="s">
        <v>868</v>
      </c>
      <c r="H625" s="253" t="s">
        <v>407</v>
      </c>
      <c r="K625" s="252">
        <f>SUM(K619:K623)</f>
        <v>5988.14</v>
      </c>
      <c r="M625" s="252">
        <v>0.85</v>
      </c>
      <c r="N625" s="296" t="s">
        <v>869</v>
      </c>
      <c r="O625" s="296" t="s">
        <v>1608</v>
      </c>
      <c r="P625" s="252">
        <f>K321-K312/10</f>
        <v>5682.11</v>
      </c>
      <c r="Q625" s="296" t="s">
        <v>869</v>
      </c>
      <c r="R625" s="252">
        <f t="shared" si="84"/>
        <v>4829.79</v>
      </c>
      <c r="W625" s="253"/>
      <c r="AE625" s="370">
        <f t="shared" si="83"/>
        <v>0</v>
      </c>
      <c r="AG625" s="296"/>
    </row>
    <row r="626" spans="1:33" ht="20.25" customHeight="1">
      <c r="A626" s="363">
        <f t="shared" si="80"/>
        <v>433</v>
      </c>
      <c r="B626" s="296" t="s">
        <v>5859</v>
      </c>
      <c r="C626" s="362">
        <v>83.4</v>
      </c>
      <c r="D626" s="365" t="s">
        <v>868</v>
      </c>
      <c r="K626" s="358" t="s">
        <v>1586</v>
      </c>
      <c r="M626" s="252">
        <v>0.98</v>
      </c>
      <c r="N626" s="296" t="s">
        <v>869</v>
      </c>
      <c r="O626" s="296" t="s">
        <v>2218</v>
      </c>
      <c r="P626" s="252">
        <f>(C73)</f>
        <v>1807.94</v>
      </c>
      <c r="Q626" s="296" t="s">
        <v>869</v>
      </c>
      <c r="R626" s="252">
        <f t="shared" si="84"/>
        <v>1771.78</v>
      </c>
      <c r="W626" s="253"/>
      <c r="AE626" s="370" t="str">
        <f t="shared" si="83"/>
        <v>|</v>
      </c>
      <c r="AG626" s="296" t="s">
        <v>2259</v>
      </c>
    </row>
    <row r="627" spans="1:33" ht="20.25" customHeight="1">
      <c r="A627" s="363">
        <f t="shared" si="80"/>
        <v>434</v>
      </c>
      <c r="B627" s="365" t="s">
        <v>1094</v>
      </c>
      <c r="C627" s="314">
        <v>36.520000000000003</v>
      </c>
      <c r="D627" s="365" t="s">
        <v>868</v>
      </c>
      <c r="H627" s="253" t="s">
        <v>411</v>
      </c>
      <c r="K627" s="252">
        <f>K625/10</f>
        <v>598.80999999999995</v>
      </c>
      <c r="M627" s="252">
        <v>2.68</v>
      </c>
      <c r="N627" s="296" t="s">
        <v>869</v>
      </c>
      <c r="O627" s="296" t="s">
        <v>1034</v>
      </c>
      <c r="P627" s="252">
        <f>(C79)</f>
        <v>1741.58</v>
      </c>
      <c r="Q627" s="296" t="s">
        <v>869</v>
      </c>
      <c r="R627" s="252">
        <f t="shared" si="84"/>
        <v>4667.43</v>
      </c>
      <c r="W627" s="253"/>
      <c r="AE627" s="370" t="str">
        <f t="shared" si="83"/>
        <v>|</v>
      </c>
      <c r="AG627" s="296" t="s">
        <v>2259</v>
      </c>
    </row>
    <row r="628" spans="1:33" ht="20.25" customHeight="1">
      <c r="A628" s="363">
        <f t="shared" si="80"/>
        <v>435</v>
      </c>
      <c r="B628" s="365" t="s">
        <v>1611</v>
      </c>
      <c r="C628" s="364"/>
      <c r="D628" s="365" t="s">
        <v>868</v>
      </c>
      <c r="H628" s="296" t="s">
        <v>386</v>
      </c>
      <c r="I628" s="252">
        <f>K627</f>
        <v>598.80999999999995</v>
      </c>
      <c r="J628" s="296">
        <f>C22*0.02</f>
        <v>2.4</v>
      </c>
      <c r="K628" s="274">
        <f>I628+J628</f>
        <v>601.21</v>
      </c>
      <c r="M628" s="252">
        <v>7.24</v>
      </c>
      <c r="N628" s="296" t="s">
        <v>609</v>
      </c>
      <c r="O628" s="296" t="s">
        <v>1613</v>
      </c>
      <c r="P628" s="252">
        <f>(K1400)</f>
        <v>252.04</v>
      </c>
      <c r="Q628" s="296" t="s">
        <v>609</v>
      </c>
      <c r="R628" s="252">
        <f t="shared" si="84"/>
        <v>1824.77</v>
      </c>
      <c r="W628" s="253"/>
      <c r="AE628" s="370" t="str">
        <f t="shared" si="83"/>
        <v>|</v>
      </c>
      <c r="AG628" s="296" t="s">
        <v>2259</v>
      </c>
    </row>
    <row r="629" spans="1:33" ht="20.25" customHeight="1">
      <c r="A629" s="363">
        <f t="shared" si="80"/>
        <v>436</v>
      </c>
      <c r="B629" s="296" t="s">
        <v>4583</v>
      </c>
      <c r="C629" s="362">
        <v>104.1</v>
      </c>
      <c r="D629" s="364">
        <v>93.72</v>
      </c>
      <c r="H629" s="296" t="s">
        <v>388</v>
      </c>
      <c r="I629" s="252">
        <f>K628</f>
        <v>601.21</v>
      </c>
      <c r="J629" s="296">
        <f>C23*0.02</f>
        <v>4.72</v>
      </c>
      <c r="K629" s="274">
        <f>I629+J629</f>
        <v>605.92999999999995</v>
      </c>
      <c r="M629" s="252">
        <v>1</v>
      </c>
      <c r="N629" s="296" t="s">
        <v>868</v>
      </c>
      <c r="O629" s="296" t="s">
        <v>1476</v>
      </c>
      <c r="P629" s="252">
        <f>(C203)</f>
        <v>128</v>
      </c>
      <c r="Q629" s="296" t="s">
        <v>868</v>
      </c>
      <c r="R629" s="252">
        <f t="shared" si="84"/>
        <v>128</v>
      </c>
      <c r="W629" s="253"/>
      <c r="AE629" s="370" t="str">
        <f t="shared" si="83"/>
        <v>|</v>
      </c>
      <c r="AG629" s="296" t="s">
        <v>2259</v>
      </c>
    </row>
    <row r="630" spans="1:33" ht="20.25" customHeight="1">
      <c r="A630" s="363">
        <f t="shared" si="80"/>
        <v>437</v>
      </c>
      <c r="B630" s="296" t="s">
        <v>1477</v>
      </c>
      <c r="C630" s="362">
        <v>69.599999999999994</v>
      </c>
      <c r="D630" s="365" t="s">
        <v>868</v>
      </c>
      <c r="H630" s="296" t="s">
        <v>2232</v>
      </c>
      <c r="I630" s="252">
        <f>K629</f>
        <v>605.92999999999995</v>
      </c>
      <c r="J630" s="296">
        <f>J629</f>
        <v>4.72</v>
      </c>
      <c r="K630" s="274">
        <f>I630+J630</f>
        <v>610.65</v>
      </c>
      <c r="M630" s="356">
        <v>0.13600000000000001</v>
      </c>
      <c r="N630" s="296" t="s">
        <v>869</v>
      </c>
      <c r="O630" s="296" t="s">
        <v>983</v>
      </c>
      <c r="P630" s="252">
        <f>(K643)</f>
        <v>8069</v>
      </c>
      <c r="Q630" s="296" t="s">
        <v>869</v>
      </c>
      <c r="R630" s="252">
        <f t="shared" si="84"/>
        <v>1097.3800000000001</v>
      </c>
      <c r="W630" s="253"/>
      <c r="AE630" s="370" t="str">
        <f t="shared" si="83"/>
        <v>|</v>
      </c>
      <c r="AG630" s="296" t="s">
        <v>2259</v>
      </c>
    </row>
    <row r="631" spans="1:33" ht="20.25" customHeight="1">
      <c r="A631" s="363">
        <f t="shared" si="80"/>
        <v>438</v>
      </c>
      <c r="B631" s="365" t="s">
        <v>984</v>
      </c>
      <c r="C631" s="423">
        <v>30.25</v>
      </c>
      <c r="D631" s="365" t="s">
        <v>868</v>
      </c>
      <c r="H631" s="296" t="s">
        <v>380</v>
      </c>
      <c r="I631" s="252">
        <f>K630</f>
        <v>610.65</v>
      </c>
      <c r="J631" s="296">
        <f>J630</f>
        <v>4.72</v>
      </c>
      <c r="K631" s="274">
        <f>I631+J631</f>
        <v>615.37</v>
      </c>
      <c r="O631" s="296" t="s">
        <v>128</v>
      </c>
      <c r="W631" s="253"/>
      <c r="AE631" s="370" t="str">
        <f t="shared" si="83"/>
        <v>|</v>
      </c>
      <c r="AG631" s="296" t="s">
        <v>2259</v>
      </c>
    </row>
    <row r="632" spans="1:33" ht="20.25" customHeight="1">
      <c r="A632" s="363">
        <f t="shared" si="80"/>
        <v>439</v>
      </c>
      <c r="B632" s="296" t="s">
        <v>4584</v>
      </c>
      <c r="C632" s="362">
        <v>167.1</v>
      </c>
      <c r="D632" s="365" t="s">
        <v>868</v>
      </c>
      <c r="H632" s="296" t="s">
        <v>1364</v>
      </c>
      <c r="I632" s="252">
        <f>K631</f>
        <v>615.37</v>
      </c>
      <c r="J632" s="296">
        <f>J631</f>
        <v>4.72</v>
      </c>
      <c r="K632" s="274">
        <f>I632+J632</f>
        <v>620.09</v>
      </c>
      <c r="N632" s="296" t="s">
        <v>449</v>
      </c>
      <c r="O632" s="296" t="s">
        <v>340</v>
      </c>
      <c r="Q632" s="296" t="s">
        <v>449</v>
      </c>
      <c r="R632" s="252">
        <v>2.2400000000000002</v>
      </c>
      <c r="W632" s="253"/>
      <c r="AE632" s="370" t="str">
        <f t="shared" si="83"/>
        <v>|</v>
      </c>
      <c r="AG632" s="296" t="s">
        <v>2259</v>
      </c>
    </row>
    <row r="633" spans="1:33" ht="20.25"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0.25" customHeight="1">
      <c r="A634" s="363">
        <f t="shared" si="80"/>
        <v>441</v>
      </c>
      <c r="B634" s="365" t="s">
        <v>1485</v>
      </c>
      <c r="C634" s="364"/>
      <c r="D634" s="365" t="s">
        <v>868</v>
      </c>
      <c r="H634" s="296" t="s">
        <v>1095</v>
      </c>
      <c r="O634" s="296" t="s">
        <v>1751</v>
      </c>
      <c r="R634" s="252">
        <f>SUM(R622:R632)</f>
        <v>26778.63</v>
      </c>
      <c r="W634" s="253"/>
      <c r="AE634" s="370" t="str">
        <f t="shared" si="83"/>
        <v>|</v>
      </c>
      <c r="AG634" s="296" t="s">
        <v>2259</v>
      </c>
    </row>
    <row r="635" spans="1:33" ht="20.25" customHeight="1">
      <c r="A635" s="363">
        <f t="shared" si="80"/>
        <v>442</v>
      </c>
      <c r="B635" s="296" t="s">
        <v>4585</v>
      </c>
      <c r="C635" s="362">
        <v>195.2</v>
      </c>
      <c r="D635" s="365" t="s">
        <v>868</v>
      </c>
      <c r="H635" s="296" t="s">
        <v>1612</v>
      </c>
      <c r="R635" s="358" t="s">
        <v>1586</v>
      </c>
      <c r="W635" s="253"/>
      <c r="AE635" s="370" t="str">
        <f t="shared" si="83"/>
        <v>|</v>
      </c>
      <c r="AG635" s="296" t="s">
        <v>2259</v>
      </c>
    </row>
    <row r="636" spans="1:33" ht="20.25"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0.25" customHeight="1">
      <c r="A637" s="364"/>
      <c r="B637" s="364"/>
      <c r="C637" s="364"/>
      <c r="D637" s="364"/>
      <c r="F637" s="252">
        <v>0.01</v>
      </c>
      <c r="G637" s="252" t="s">
        <v>869</v>
      </c>
      <c r="H637" s="296" t="s">
        <v>1478</v>
      </c>
      <c r="I637" s="252">
        <f>(K280)</f>
        <v>7953.72</v>
      </c>
      <c r="J637" s="296" t="s">
        <v>869</v>
      </c>
      <c r="K637" s="252">
        <f>(F637*I637)</f>
        <v>79.540000000000006</v>
      </c>
      <c r="W637" s="253"/>
      <c r="AE637" s="370" t="str">
        <f t="shared" si="83"/>
        <v>|</v>
      </c>
      <c r="AG637" s="296" t="s">
        <v>2259</v>
      </c>
    </row>
    <row r="638" spans="1:33" ht="20.25"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3995</v>
      </c>
      <c r="W638" s="253"/>
      <c r="AA638" s="253" t="s">
        <v>163</v>
      </c>
      <c r="AB638" s="252" t="s">
        <v>2251</v>
      </c>
      <c r="AC638" s="276" t="s">
        <v>4137</v>
      </c>
      <c r="AE638" s="296"/>
    </row>
    <row r="639" spans="1:33" ht="20.25" customHeight="1">
      <c r="A639" s="363">
        <f t="shared" ref="A639:A702" si="85">(A638+1)</f>
        <v>445</v>
      </c>
      <c r="B639" s="296" t="s">
        <v>4257</v>
      </c>
      <c r="C639" s="362">
        <v>298.60000000000002</v>
      </c>
      <c r="D639" s="365" t="s">
        <v>868</v>
      </c>
      <c r="H639" s="296" t="s">
        <v>130</v>
      </c>
      <c r="O639" s="358" t="s">
        <v>1586</v>
      </c>
      <c r="S639" s="252"/>
      <c r="U639" s="296" t="s">
        <v>1383</v>
      </c>
      <c r="W639" s="253"/>
      <c r="AC639" s="296" t="s">
        <v>1383</v>
      </c>
      <c r="AE639" s="296"/>
    </row>
    <row r="640" spans="1:33" ht="20.25"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0.25" customHeight="1">
      <c r="A641" s="363">
        <f t="shared" si="85"/>
        <v>447</v>
      </c>
      <c r="B641" s="365" t="s">
        <v>622</v>
      </c>
      <c r="C641" s="364"/>
      <c r="D641" s="365" t="s">
        <v>868</v>
      </c>
      <c r="H641" s="296" t="s">
        <v>1486</v>
      </c>
      <c r="K641" s="252">
        <f>SUM(K637:K639)</f>
        <v>80.69</v>
      </c>
      <c r="M641" s="252">
        <v>2.4</v>
      </c>
      <c r="N641" s="296" t="s">
        <v>869</v>
      </c>
      <c r="O641" s="296" t="s">
        <v>1633</v>
      </c>
      <c r="P641" s="252">
        <f>(C81)</f>
        <v>720.98</v>
      </c>
      <c r="Q641" s="296" t="s">
        <v>869</v>
      </c>
      <c r="R641" s="252">
        <f>(M641*P641)</f>
        <v>1730.35</v>
      </c>
      <c r="S641" s="252"/>
      <c r="U641" s="358" t="s">
        <v>1586</v>
      </c>
      <c r="W641" s="253"/>
      <c r="AC641" s="358" t="s">
        <v>1586</v>
      </c>
      <c r="AE641" s="296"/>
    </row>
    <row r="642" spans="1:32" ht="20.25" customHeight="1">
      <c r="A642" s="363">
        <f t="shared" si="85"/>
        <v>448</v>
      </c>
      <c r="B642" s="296" t="s">
        <v>4587</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3996</v>
      </c>
      <c r="V642" s="252">
        <f>AC11</f>
        <v>1092.6099999999999</v>
      </c>
      <c r="W642" s="253" t="s">
        <v>869</v>
      </c>
      <c r="X642" s="252">
        <f t="shared" ref="X642:X648" si="86">S642*V642</f>
        <v>9068.66</v>
      </c>
      <c r="AA642" s="356">
        <v>8.3000000000000007</v>
      </c>
      <c r="AB642" s="252" t="s">
        <v>869</v>
      </c>
      <c r="AC642" s="296" t="s">
        <v>3996</v>
      </c>
      <c r="AD642" s="252">
        <f>V642</f>
        <v>1092.6099999999999</v>
      </c>
      <c r="AE642" s="296" t="s">
        <v>869</v>
      </c>
      <c r="AF642" s="252">
        <f t="shared" ref="AF642:AF648" si="87">AA642*AD642</f>
        <v>9068.66</v>
      </c>
    </row>
    <row r="643" spans="1:32" ht="20.25" customHeight="1">
      <c r="A643" s="363">
        <f t="shared" si="85"/>
        <v>449</v>
      </c>
      <c r="B643" s="296" t="s">
        <v>1773</v>
      </c>
      <c r="C643" s="362">
        <v>97.3</v>
      </c>
      <c r="D643" s="365" t="s">
        <v>868</v>
      </c>
      <c r="H643" s="296" t="s">
        <v>773</v>
      </c>
      <c r="K643" s="252">
        <f>ROUND(K641*100,0)</f>
        <v>8069</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0.25" customHeight="1">
      <c r="A644" s="363">
        <f t="shared" si="85"/>
        <v>450</v>
      </c>
      <c r="B644" s="365" t="s">
        <v>1775</v>
      </c>
      <c r="C644" s="364"/>
      <c r="D644" s="365" t="s">
        <v>868</v>
      </c>
      <c r="F644" s="296" t="s">
        <v>975</v>
      </c>
      <c r="R644" s="358" t="s">
        <v>1586</v>
      </c>
      <c r="S644" s="356">
        <v>4.79</v>
      </c>
      <c r="T644" s="252" t="s">
        <v>869</v>
      </c>
      <c r="U644" s="296" t="s">
        <v>870</v>
      </c>
      <c r="V644" s="252">
        <f>I809</f>
        <v>1741.58</v>
      </c>
      <c r="W644" s="253" t="s">
        <v>869</v>
      </c>
      <c r="X644" s="252">
        <f t="shared" si="86"/>
        <v>8342.17</v>
      </c>
      <c r="AA644" s="356">
        <v>4.79</v>
      </c>
      <c r="AB644" s="252" t="s">
        <v>869</v>
      </c>
      <c r="AC644" s="296" t="s">
        <v>870</v>
      </c>
      <c r="AD644" s="252">
        <f t="shared" si="88"/>
        <v>1741.58</v>
      </c>
      <c r="AE644" s="296" t="s">
        <v>869</v>
      </c>
      <c r="AF644" s="252">
        <f t="shared" si="87"/>
        <v>8342.17</v>
      </c>
    </row>
    <row r="645" spans="1:32" ht="20.25" customHeight="1">
      <c r="A645" s="363">
        <f t="shared" si="85"/>
        <v>451</v>
      </c>
      <c r="B645" s="296" t="s">
        <v>4586</v>
      </c>
      <c r="C645" s="362">
        <v>187.8</v>
      </c>
      <c r="D645" s="365" t="s">
        <v>868</v>
      </c>
      <c r="K645" s="358" t="s">
        <v>2055</v>
      </c>
      <c r="O645" s="296" t="s">
        <v>1751</v>
      </c>
      <c r="R645" s="252">
        <f>SUM(R640:R643)</f>
        <v>2719.73</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0.25"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0.25"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0.25" customHeight="1">
      <c r="A648" s="363">
        <f t="shared" si="85"/>
        <v>454</v>
      </c>
      <c r="B648" s="296" t="s">
        <v>4588</v>
      </c>
      <c r="C648" s="362">
        <v>82.3</v>
      </c>
      <c r="D648" s="365" t="s">
        <v>868</v>
      </c>
      <c r="H648" s="358" t="s">
        <v>1586</v>
      </c>
      <c r="N648" s="296" t="s">
        <v>2251</v>
      </c>
      <c r="O648" s="296" t="s">
        <v>61</v>
      </c>
      <c r="S648" s="407">
        <v>19.5</v>
      </c>
      <c r="U648" s="296" t="s">
        <v>3997</v>
      </c>
      <c r="V648" s="362">
        <f>C149</f>
        <v>43.2</v>
      </c>
      <c r="W648" s="253" t="s">
        <v>449</v>
      </c>
      <c r="X648" s="252">
        <f t="shared" si="86"/>
        <v>842.4</v>
      </c>
      <c r="AA648" s="407">
        <v>40</v>
      </c>
      <c r="AC648" s="296" t="s">
        <v>3997</v>
      </c>
      <c r="AD648" s="252">
        <f t="shared" si="88"/>
        <v>43.2</v>
      </c>
      <c r="AE648" s="296" t="s">
        <v>449</v>
      </c>
      <c r="AF648" s="252">
        <f t="shared" si="87"/>
        <v>1728</v>
      </c>
    </row>
    <row r="649" spans="1:32" ht="20.25" customHeight="1">
      <c r="A649" s="363">
        <f t="shared" si="85"/>
        <v>455</v>
      </c>
      <c r="B649" s="296" t="s">
        <v>1960</v>
      </c>
      <c r="C649" s="362">
        <v>55.5</v>
      </c>
      <c r="D649" s="365" t="s">
        <v>868</v>
      </c>
      <c r="F649" s="356">
        <v>1.4E-2</v>
      </c>
      <c r="G649" s="252" t="s">
        <v>869</v>
      </c>
      <c r="H649" s="296" t="s">
        <v>1325</v>
      </c>
      <c r="I649" s="252">
        <f>(K643)</f>
        <v>8069</v>
      </c>
      <c r="J649" s="296" t="s">
        <v>869</v>
      </c>
      <c r="K649" s="252">
        <f>(F649*I649)</f>
        <v>112.97</v>
      </c>
      <c r="O649" s="296" t="s">
        <v>1961</v>
      </c>
      <c r="S649" s="252"/>
      <c r="W649" s="253"/>
      <c r="X649" s="358" t="s">
        <v>1586</v>
      </c>
      <c r="AE649" s="296"/>
      <c r="AF649" s="358" t="s">
        <v>1586</v>
      </c>
    </row>
    <row r="650" spans="1:32" ht="20.25"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73796.63</v>
      </c>
      <c r="AC650" s="253" t="s">
        <v>614</v>
      </c>
      <c r="AE650" s="296"/>
      <c r="AF650" s="252">
        <f>SUM(AF642:AF648)</f>
        <v>79212.23</v>
      </c>
    </row>
    <row r="651" spans="1:32" ht="20.25"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0.25"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7379.66</v>
      </c>
      <c r="AC652" s="296" t="s">
        <v>773</v>
      </c>
      <c r="AE652" s="296"/>
      <c r="AF652" s="252">
        <f>AF650/10</f>
        <v>7921.22</v>
      </c>
    </row>
    <row r="653" spans="1:32" ht="20.25" customHeight="1">
      <c r="A653" s="363">
        <f t="shared" si="85"/>
        <v>459</v>
      </c>
      <c r="B653" s="296" t="s">
        <v>5295</v>
      </c>
      <c r="C653" s="362">
        <v>42.7</v>
      </c>
      <c r="D653" s="365" t="s">
        <v>1645</v>
      </c>
      <c r="G653" s="252" t="s">
        <v>449</v>
      </c>
      <c r="H653" s="296" t="s">
        <v>450</v>
      </c>
      <c r="J653" s="296" t="s">
        <v>449</v>
      </c>
      <c r="K653" s="252">
        <v>0</v>
      </c>
      <c r="M653" s="252">
        <v>0.47</v>
      </c>
      <c r="N653" s="296" t="s">
        <v>869</v>
      </c>
      <c r="O653" s="296" t="s">
        <v>342</v>
      </c>
      <c r="P653" s="252">
        <f>(R74)</f>
        <v>6492.99</v>
      </c>
      <c r="Q653" s="296" t="s">
        <v>869</v>
      </c>
      <c r="R653" s="252">
        <f t="shared" si="89"/>
        <v>3051.71</v>
      </c>
      <c r="S653" s="252">
        <v>1</v>
      </c>
      <c r="T653" s="252" t="s">
        <v>869</v>
      </c>
      <c r="U653" s="296" t="s">
        <v>44</v>
      </c>
      <c r="W653" s="253"/>
      <c r="AA653" s="252">
        <v>1</v>
      </c>
      <c r="AB653" s="252" t="s">
        <v>869</v>
      </c>
      <c r="AC653" s="296" t="s">
        <v>44</v>
      </c>
      <c r="AE653" s="296"/>
    </row>
    <row r="654" spans="1:32" ht="20.25" customHeight="1">
      <c r="A654" s="363">
        <f t="shared" si="85"/>
        <v>460</v>
      </c>
      <c r="B654" s="365" t="s">
        <v>1843</v>
      </c>
      <c r="C654" s="314">
        <v>0.3</v>
      </c>
      <c r="D654" s="365" t="s">
        <v>868</v>
      </c>
      <c r="K654" s="358" t="s">
        <v>1586</v>
      </c>
      <c r="M654" s="252">
        <v>1.62</v>
      </c>
      <c r="N654" s="296" t="s">
        <v>869</v>
      </c>
      <c r="O654" s="296" t="s">
        <v>1976</v>
      </c>
      <c r="P654" s="252">
        <f>(R89)</f>
        <v>6864.84</v>
      </c>
      <c r="Q654" s="296" t="s">
        <v>869</v>
      </c>
      <c r="R654" s="252">
        <f t="shared" si="89"/>
        <v>11121.04</v>
      </c>
      <c r="W654" s="253"/>
      <c r="X654" s="252">
        <f>SUM(X652:X653)</f>
        <v>7379.66</v>
      </c>
      <c r="AA654" s="356"/>
      <c r="AF654" s="252">
        <f>SUM(AF652:AF653)</f>
        <v>7921.22</v>
      </c>
    </row>
    <row r="655" spans="1:32" ht="20.25" customHeight="1">
      <c r="A655" s="363">
        <f t="shared" si="85"/>
        <v>461</v>
      </c>
      <c r="B655" s="296" t="s">
        <v>5296</v>
      </c>
      <c r="C655" s="362">
        <v>189.65</v>
      </c>
      <c r="D655" s="365" t="s">
        <v>609</v>
      </c>
      <c r="H655" s="296" t="s">
        <v>102</v>
      </c>
      <c r="K655" s="252">
        <f>SUM(K649:K653)</f>
        <v>1100.72</v>
      </c>
      <c r="M655" s="252">
        <v>15.22</v>
      </c>
      <c r="N655" s="296" t="s">
        <v>609</v>
      </c>
      <c r="O655" s="296" t="s">
        <v>2135</v>
      </c>
      <c r="P655" s="252">
        <f>(R304)</f>
        <v>267.77999999999997</v>
      </c>
      <c r="Q655" s="296" t="s">
        <v>609</v>
      </c>
      <c r="R655" s="252">
        <f t="shared" si="89"/>
        <v>4075.61</v>
      </c>
      <c r="S655" s="252"/>
      <c r="U655" s="252" t="s">
        <v>3998</v>
      </c>
      <c r="W655" s="253"/>
      <c r="X655" s="252">
        <f>X654*0.5%</f>
        <v>36.9</v>
      </c>
      <c r="AC655" s="252" t="s">
        <v>3998</v>
      </c>
      <c r="AF655" s="252">
        <f>AF654*0.5%</f>
        <v>39.61</v>
      </c>
    </row>
    <row r="656" spans="1:32" ht="20.25" customHeight="1">
      <c r="A656" s="363">
        <f t="shared" si="85"/>
        <v>462</v>
      </c>
      <c r="B656" s="365" t="s">
        <v>2018</v>
      </c>
      <c r="C656" s="314">
        <v>97.31</v>
      </c>
      <c r="D656" s="365" t="s">
        <v>609</v>
      </c>
      <c r="K656" s="358" t="s">
        <v>1586</v>
      </c>
      <c r="M656" s="252">
        <v>0.18</v>
      </c>
      <c r="N656" s="296" t="s">
        <v>869</v>
      </c>
      <c r="O656" s="296" t="s">
        <v>1333</v>
      </c>
      <c r="P656" s="252">
        <f>(K280)</f>
        <v>7953.72</v>
      </c>
      <c r="Q656" s="296" t="s">
        <v>869</v>
      </c>
      <c r="R656" s="252">
        <f t="shared" si="89"/>
        <v>1431.67</v>
      </c>
      <c r="S656" s="252"/>
      <c r="W656" s="253"/>
      <c r="X656" s="358"/>
      <c r="AE656" s="296"/>
      <c r="AF656" s="358"/>
    </row>
    <row r="657" spans="1:32" ht="20.25" customHeight="1">
      <c r="A657" s="363">
        <f t="shared" si="85"/>
        <v>463</v>
      </c>
      <c r="B657" s="296" t="s">
        <v>5297</v>
      </c>
      <c r="C657" s="362">
        <v>196.45</v>
      </c>
      <c r="D657" s="296" t="s">
        <v>1152</v>
      </c>
      <c r="H657" s="296" t="s">
        <v>552</v>
      </c>
      <c r="K657" s="252">
        <f>(K655/0.372)</f>
        <v>2958.92</v>
      </c>
      <c r="M657" s="252">
        <v>0.36</v>
      </c>
      <c r="N657" s="296" t="s">
        <v>609</v>
      </c>
      <c r="O657" s="296" t="s">
        <v>760</v>
      </c>
      <c r="P657" s="252">
        <f>(K467)</f>
        <v>396.72</v>
      </c>
      <c r="Q657" s="296" t="s">
        <v>609</v>
      </c>
      <c r="R657" s="252">
        <f t="shared" si="89"/>
        <v>142.82</v>
      </c>
      <c r="S657" s="252"/>
      <c r="U657" s="252" t="s">
        <v>3588</v>
      </c>
      <c r="W657" s="253"/>
      <c r="X657" s="274">
        <f>SUM(X654:X656)</f>
        <v>7416.56</v>
      </c>
      <c r="AC657" s="252" t="s">
        <v>3588</v>
      </c>
      <c r="AE657" s="296"/>
      <c r="AF657" s="274">
        <f>SUM(AF654:AF656)</f>
        <v>7960.83</v>
      </c>
    </row>
    <row r="658" spans="1:32" ht="20.25" customHeight="1">
      <c r="A658" s="363">
        <f t="shared" si="85"/>
        <v>464</v>
      </c>
      <c r="B658" s="296" t="s">
        <v>5298</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0.25" customHeight="1">
      <c r="A659" s="363">
        <f t="shared" si="85"/>
        <v>465</v>
      </c>
      <c r="B659" s="296" t="s">
        <v>1165</v>
      </c>
      <c r="C659" s="362">
        <v>3.91</v>
      </c>
      <c r="D659" s="296" t="s">
        <v>868</v>
      </c>
      <c r="E659" s="252" t="s">
        <v>148</v>
      </c>
      <c r="H659" s="296" t="s">
        <v>386</v>
      </c>
      <c r="I659" s="252">
        <f>K657</f>
        <v>2958.92</v>
      </c>
      <c r="J659" s="296">
        <f>C22*0.014/0.372</f>
        <v>4.51</v>
      </c>
      <c r="K659" s="274">
        <f>I659+J659</f>
        <v>2963.43</v>
      </c>
      <c r="M659" s="252">
        <v>1.8</v>
      </c>
      <c r="N659" s="296" t="s">
        <v>335</v>
      </c>
      <c r="O659" s="296" t="s">
        <v>336</v>
      </c>
      <c r="P659" s="252">
        <f>(C325)</f>
        <v>14.91</v>
      </c>
      <c r="Q659" s="296" t="s">
        <v>335</v>
      </c>
      <c r="R659" s="252">
        <f t="shared" si="89"/>
        <v>26.84</v>
      </c>
      <c r="S659" s="252"/>
      <c r="U659" s="296" t="s">
        <v>386</v>
      </c>
      <c r="W659" s="253"/>
      <c r="X659" s="274">
        <f>(X657+C23)</f>
        <v>7652.66</v>
      </c>
      <c r="AC659" s="296" t="s">
        <v>386</v>
      </c>
      <c r="AE659" s="296"/>
      <c r="AF659" s="274">
        <f>AF657+C23</f>
        <v>8196.93</v>
      </c>
    </row>
    <row r="660" spans="1:32" ht="20.25" customHeight="1">
      <c r="A660" s="363">
        <f t="shared" si="85"/>
        <v>466</v>
      </c>
      <c r="B660" s="296" t="s">
        <v>5860</v>
      </c>
      <c r="C660" s="362">
        <v>70.150000000000006</v>
      </c>
      <c r="D660" s="418">
        <v>69.599999999999994</v>
      </c>
      <c r="E660" s="252" t="s">
        <v>4589</v>
      </c>
      <c r="H660" s="296" t="s">
        <v>388</v>
      </c>
      <c r="I660" s="252">
        <f>K659</f>
        <v>2963.43</v>
      </c>
      <c r="J660" s="296">
        <f>C23*0.014/0.372</f>
        <v>8.89</v>
      </c>
      <c r="K660" s="274">
        <f>I660+J660</f>
        <v>2972.32</v>
      </c>
      <c r="M660" s="252">
        <v>1</v>
      </c>
      <c r="N660" s="296" t="s">
        <v>868</v>
      </c>
      <c r="O660" s="296" t="s">
        <v>1913</v>
      </c>
      <c r="P660" s="252">
        <f>(C371)</f>
        <v>13.29</v>
      </c>
      <c r="Q660" s="296" t="s">
        <v>868</v>
      </c>
      <c r="R660" s="252">
        <f t="shared" si="89"/>
        <v>13.29</v>
      </c>
      <c r="S660" s="252"/>
      <c r="U660" s="296" t="s">
        <v>388</v>
      </c>
      <c r="W660" s="253"/>
      <c r="X660" s="274">
        <f>X659+C24</f>
        <v>7888.76</v>
      </c>
      <c r="AC660" s="296" t="s">
        <v>388</v>
      </c>
      <c r="AE660" s="296"/>
      <c r="AF660" s="274">
        <f>AF659+C24</f>
        <v>8433.0300000000007</v>
      </c>
    </row>
    <row r="661" spans="1:32" ht="20.25" customHeight="1">
      <c r="A661" s="363">
        <f t="shared" si="85"/>
        <v>467</v>
      </c>
      <c r="B661" s="424" t="s">
        <v>5299</v>
      </c>
      <c r="C661" s="410">
        <v>11.2</v>
      </c>
      <c r="D661" s="411" t="s">
        <v>1771</v>
      </c>
      <c r="E661" s="410">
        <v>17.3</v>
      </c>
      <c r="H661" s="296" t="s">
        <v>2232</v>
      </c>
      <c r="I661" s="252">
        <f>K660</f>
        <v>2972.32</v>
      </c>
      <c r="J661" s="296">
        <f>J660</f>
        <v>8.89</v>
      </c>
      <c r="K661" s="274">
        <f>I661+J661</f>
        <v>2981.21</v>
      </c>
      <c r="N661" s="296" t="s">
        <v>449</v>
      </c>
      <c r="O661" s="296" t="s">
        <v>340</v>
      </c>
      <c r="Q661" s="296" t="s">
        <v>449</v>
      </c>
      <c r="R661" s="252">
        <v>1.72</v>
      </c>
      <c r="S661" s="252"/>
      <c r="U661" s="296" t="s">
        <v>2232</v>
      </c>
      <c r="W661" s="253"/>
      <c r="X661" s="274">
        <f>X660+C25</f>
        <v>7982.96</v>
      </c>
      <c r="AC661" s="296" t="s">
        <v>2232</v>
      </c>
      <c r="AE661" s="296"/>
      <c r="AF661" s="274">
        <f>AF660+C25</f>
        <v>8527.23</v>
      </c>
    </row>
    <row r="662" spans="1:32" ht="20.25" customHeight="1">
      <c r="A662" s="363">
        <f t="shared" si="85"/>
        <v>468</v>
      </c>
      <c r="B662" s="425" t="s">
        <v>5300</v>
      </c>
      <c r="C662" s="410">
        <v>17.3</v>
      </c>
      <c r="D662" s="411" t="s">
        <v>1771</v>
      </c>
      <c r="E662" s="410"/>
      <c r="H662" s="296" t="s">
        <v>380</v>
      </c>
      <c r="I662" s="252">
        <f>K661</f>
        <v>2981.21</v>
      </c>
      <c r="J662" s="296">
        <f>J661</f>
        <v>8.89</v>
      </c>
      <c r="K662" s="274">
        <f>I662+J662</f>
        <v>2990.1</v>
      </c>
      <c r="R662" s="296" t="s">
        <v>975</v>
      </c>
      <c r="S662" s="252"/>
      <c r="U662" s="296" t="s">
        <v>380</v>
      </c>
      <c r="W662" s="253"/>
      <c r="X662" s="274">
        <f>X661+C25</f>
        <v>8077.16</v>
      </c>
      <c r="AC662" s="296" t="s">
        <v>380</v>
      </c>
      <c r="AE662" s="296"/>
      <c r="AF662" s="274">
        <f>AF661+C25</f>
        <v>8621.43</v>
      </c>
    </row>
    <row r="663" spans="1:32" ht="20.25" customHeight="1">
      <c r="A663" s="363">
        <f t="shared" si="85"/>
        <v>469</v>
      </c>
      <c r="B663" s="296" t="s">
        <v>4590</v>
      </c>
      <c r="C663" s="426">
        <v>8.9</v>
      </c>
      <c r="D663" s="427">
        <v>10.65</v>
      </c>
      <c r="E663" s="252">
        <v>2</v>
      </c>
      <c r="H663" s="296" t="s">
        <v>1364</v>
      </c>
      <c r="I663" s="252">
        <f>K662</f>
        <v>2990.1</v>
      </c>
      <c r="J663" s="296">
        <f>J662</f>
        <v>8.89</v>
      </c>
      <c r="K663" s="274">
        <f>I663+J663</f>
        <v>2998.99</v>
      </c>
      <c r="R663" s="358" t="s">
        <v>1586</v>
      </c>
      <c r="S663" s="252"/>
      <c r="U663" s="296" t="s">
        <v>1532</v>
      </c>
      <c r="W663" s="253"/>
      <c r="X663" s="274">
        <f>X662+C25</f>
        <v>8171.36</v>
      </c>
      <c r="AC663" s="296" t="s">
        <v>1532</v>
      </c>
      <c r="AE663" s="296"/>
      <c r="AF663" s="274">
        <f>AF662+K25</f>
        <v>8621.43</v>
      </c>
    </row>
    <row r="664" spans="1:32" ht="20.25" customHeight="1">
      <c r="A664" s="363"/>
      <c r="B664" s="365"/>
      <c r="C664" s="370"/>
      <c r="D664" s="374"/>
      <c r="H664" s="296">
        <v>5</v>
      </c>
      <c r="I664" s="252">
        <f t="shared" ref="I664:I670" si="90">K663</f>
        <v>2998.99</v>
      </c>
      <c r="J664" s="296">
        <f t="shared" ref="J664:J670" si="91">J663</f>
        <v>8.89</v>
      </c>
      <c r="K664" s="274">
        <f t="shared" ref="K664:K670" si="92">I664+J664</f>
        <v>3007.88</v>
      </c>
      <c r="R664" s="358"/>
      <c r="S664" s="252"/>
      <c r="U664" s="296">
        <v>5</v>
      </c>
      <c r="W664" s="253"/>
      <c r="X664" s="274">
        <f>X663+C25</f>
        <v>8265.56</v>
      </c>
      <c r="AC664" s="296">
        <v>5</v>
      </c>
      <c r="AE664" s="296"/>
      <c r="AF664" s="274">
        <f>AF663+K25</f>
        <v>8621.43</v>
      </c>
    </row>
    <row r="665" spans="1:32" ht="20.25" customHeight="1">
      <c r="A665" s="363"/>
      <c r="B665" s="365"/>
      <c r="C665" s="370"/>
      <c r="D665" s="374"/>
      <c r="H665" s="296">
        <v>6</v>
      </c>
      <c r="I665" s="252">
        <f t="shared" si="90"/>
        <v>3007.88</v>
      </c>
      <c r="J665" s="296">
        <f t="shared" si="91"/>
        <v>8.89</v>
      </c>
      <c r="K665" s="274">
        <f t="shared" si="92"/>
        <v>3016.77</v>
      </c>
      <c r="R665" s="358"/>
      <c r="W665" s="253"/>
      <c r="AA665" s="356"/>
    </row>
    <row r="666" spans="1:32" ht="20.25" customHeight="1">
      <c r="A666" s="363"/>
      <c r="B666" s="365"/>
      <c r="C666" s="370"/>
      <c r="D666" s="374"/>
      <c r="H666" s="296">
        <v>7</v>
      </c>
      <c r="I666" s="252">
        <f t="shared" si="90"/>
        <v>3016.77</v>
      </c>
      <c r="J666" s="296">
        <f t="shared" si="91"/>
        <v>8.89</v>
      </c>
      <c r="K666" s="274">
        <f t="shared" si="92"/>
        <v>3025.66</v>
      </c>
      <c r="R666" s="358"/>
      <c r="W666" s="253"/>
      <c r="AA666" s="356"/>
    </row>
    <row r="667" spans="1:32" ht="20.25" customHeight="1">
      <c r="A667" s="363"/>
      <c r="B667" s="365"/>
      <c r="C667" s="370"/>
      <c r="D667" s="374"/>
      <c r="H667" s="296">
        <v>8</v>
      </c>
      <c r="I667" s="252">
        <f t="shared" si="90"/>
        <v>3025.66</v>
      </c>
      <c r="J667" s="296">
        <f t="shared" si="91"/>
        <v>8.89</v>
      </c>
      <c r="K667" s="274">
        <f t="shared" si="92"/>
        <v>3034.55</v>
      </c>
      <c r="R667" s="358"/>
      <c r="W667" s="253"/>
      <c r="AA667" s="356"/>
    </row>
    <row r="668" spans="1:32" ht="20.25" customHeight="1">
      <c r="A668" s="363"/>
      <c r="B668" s="365"/>
      <c r="C668" s="370"/>
      <c r="D668" s="374"/>
      <c r="H668" s="296">
        <v>9</v>
      </c>
      <c r="I668" s="252">
        <f t="shared" si="90"/>
        <v>3034.55</v>
      </c>
      <c r="J668" s="296">
        <f t="shared" si="91"/>
        <v>8.89</v>
      </c>
      <c r="K668" s="274">
        <f t="shared" si="92"/>
        <v>3043.44</v>
      </c>
      <c r="R668" s="358"/>
      <c r="W668" s="253"/>
      <c r="AA668" s="356"/>
    </row>
    <row r="669" spans="1:32" ht="20.25" customHeight="1">
      <c r="A669" s="363"/>
      <c r="B669" s="365"/>
      <c r="C669" s="370"/>
      <c r="D669" s="374"/>
      <c r="H669" s="296">
        <v>10</v>
      </c>
      <c r="I669" s="252">
        <f t="shared" si="90"/>
        <v>3043.44</v>
      </c>
      <c r="J669" s="296">
        <f t="shared" si="91"/>
        <v>8.89</v>
      </c>
      <c r="K669" s="274">
        <f t="shared" si="92"/>
        <v>3052.33</v>
      </c>
      <c r="R669" s="358"/>
      <c r="W669" s="253"/>
      <c r="AA669" s="356"/>
    </row>
    <row r="670" spans="1:32" ht="20.25" customHeight="1">
      <c r="A670" s="363"/>
      <c r="B670" s="365"/>
      <c r="C670" s="370"/>
      <c r="D670" s="374"/>
      <c r="H670" s="296">
        <v>11</v>
      </c>
      <c r="I670" s="252">
        <f t="shared" si="90"/>
        <v>3052.33</v>
      </c>
      <c r="J670" s="296">
        <f t="shared" si="91"/>
        <v>8.89</v>
      </c>
      <c r="K670" s="274">
        <f t="shared" si="92"/>
        <v>3061.22</v>
      </c>
      <c r="R670" s="358"/>
      <c r="W670" s="253"/>
      <c r="AA670" s="356"/>
    </row>
    <row r="671" spans="1:32" ht="20.25" customHeight="1">
      <c r="A671" s="363"/>
      <c r="B671" s="365"/>
      <c r="C671" s="370"/>
      <c r="D671" s="374"/>
      <c r="H671" s="296"/>
      <c r="K671" s="274"/>
      <c r="R671" s="358"/>
      <c r="W671" s="253"/>
      <c r="AA671" s="356"/>
    </row>
    <row r="672" spans="1:32" ht="20.25" customHeight="1">
      <c r="A672" s="363">
        <f>(A663+1)</f>
        <v>470</v>
      </c>
      <c r="B672" s="365" t="s">
        <v>174</v>
      </c>
      <c r="C672" s="426">
        <v>12.65</v>
      </c>
      <c r="D672" s="427">
        <v>12.85</v>
      </c>
      <c r="E672" s="252">
        <v>3.7</v>
      </c>
      <c r="F672" s="253" t="s">
        <v>1334</v>
      </c>
      <c r="H672" s="296" t="s">
        <v>759</v>
      </c>
      <c r="O672" s="296" t="s">
        <v>1751</v>
      </c>
      <c r="R672" s="252">
        <f>SUM(R652:R662)</f>
        <v>22121.65</v>
      </c>
      <c r="W672" s="253"/>
      <c r="AA672" s="356"/>
    </row>
    <row r="673" spans="1:33" ht="20.25"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0.25" customHeight="1">
      <c r="A674" s="363">
        <f t="shared" si="85"/>
        <v>472</v>
      </c>
      <c r="B674" s="365" t="s">
        <v>418</v>
      </c>
      <c r="C674" s="314">
        <v>5</v>
      </c>
      <c r="D674" s="365" t="s">
        <v>449</v>
      </c>
      <c r="H674" s="296" t="s">
        <v>334</v>
      </c>
      <c r="O674" s="296" t="s">
        <v>1439</v>
      </c>
      <c r="T674" s="274">
        <v>4.2</v>
      </c>
      <c r="U674" s="274" t="s">
        <v>3991</v>
      </c>
      <c r="W674" s="253"/>
      <c r="AE674" s="370" t="str">
        <f t="shared" si="93"/>
        <v>|</v>
      </c>
      <c r="AG674" s="296" t="s">
        <v>2259</v>
      </c>
    </row>
    <row r="675" spans="1:33" ht="20.25" customHeight="1">
      <c r="A675" s="363">
        <f t="shared" si="85"/>
        <v>473</v>
      </c>
      <c r="B675" s="365" t="s">
        <v>1598</v>
      </c>
      <c r="C675" s="314">
        <v>96</v>
      </c>
      <c r="D675" s="365" t="s">
        <v>868</v>
      </c>
      <c r="H675" s="296" t="s">
        <v>1503</v>
      </c>
      <c r="N675" s="296" t="s">
        <v>2251</v>
      </c>
      <c r="O675" s="296" t="s">
        <v>1600</v>
      </c>
      <c r="S675" s="356">
        <v>5</v>
      </c>
      <c r="T675" s="252" t="s">
        <v>1341</v>
      </c>
      <c r="U675" s="252" t="s">
        <v>6095</v>
      </c>
      <c r="V675" s="252">
        <f>V705</f>
        <v>1807.94</v>
      </c>
      <c r="W675" s="253"/>
      <c r="X675" s="252">
        <f>V675*S675</f>
        <v>9039.7000000000007</v>
      </c>
      <c r="AE675" s="370" t="str">
        <f t="shared" si="93"/>
        <v>|</v>
      </c>
      <c r="AG675" s="296" t="s">
        <v>2259</v>
      </c>
    </row>
    <row r="676" spans="1:33" ht="20.25" customHeight="1">
      <c r="A676" s="363">
        <f t="shared" si="85"/>
        <v>474</v>
      </c>
      <c r="B676" s="365" t="s">
        <v>1601</v>
      </c>
      <c r="C676" s="314">
        <v>75</v>
      </c>
      <c r="D676" s="365" t="s">
        <v>868</v>
      </c>
      <c r="H676" s="296" t="s">
        <v>170</v>
      </c>
      <c r="O676" s="296" t="s">
        <v>1602</v>
      </c>
      <c r="S676" s="356">
        <v>3.3</v>
      </c>
      <c r="T676" s="252" t="s">
        <v>1341</v>
      </c>
      <c r="U676" s="252" t="s">
        <v>6096</v>
      </c>
      <c r="V676" s="252">
        <f t="shared" ref="V676:V685" si="94">V706</f>
        <v>1517.94</v>
      </c>
      <c r="W676" s="253"/>
      <c r="X676" s="252">
        <f t="shared" ref="X676:X682" si="95">V676*S676</f>
        <v>5009.2</v>
      </c>
      <c r="AE676" s="370" t="str">
        <f t="shared" si="93"/>
        <v>|</v>
      </c>
      <c r="AG676" s="296" t="s">
        <v>2259</v>
      </c>
    </row>
    <row r="677" spans="1:33" ht="20.25" customHeight="1">
      <c r="A677" s="363">
        <f t="shared" si="85"/>
        <v>475</v>
      </c>
      <c r="B677" s="365" t="s">
        <v>1603</v>
      </c>
      <c r="C677" s="428">
        <v>26.6</v>
      </c>
      <c r="D677" s="428">
        <v>40.9</v>
      </c>
      <c r="E677" s="252">
        <v>3</v>
      </c>
      <c r="H677" s="296" t="s">
        <v>172</v>
      </c>
      <c r="O677" s="358" t="s">
        <v>1586</v>
      </c>
      <c r="S677" s="356">
        <v>4.79</v>
      </c>
      <c r="T677" s="252" t="s">
        <v>1341</v>
      </c>
      <c r="U677" s="252" t="s">
        <v>6097</v>
      </c>
      <c r="V677" s="252">
        <f t="shared" si="94"/>
        <v>1741.58</v>
      </c>
      <c r="W677" s="253"/>
      <c r="X677" s="252">
        <f t="shared" si="95"/>
        <v>8342.17</v>
      </c>
      <c r="AE677" s="370" t="str">
        <f t="shared" si="93"/>
        <v>|</v>
      </c>
      <c r="AG677" s="296" t="s">
        <v>2259</v>
      </c>
    </row>
    <row r="678" spans="1:33" ht="20.25"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0.25"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4008</v>
      </c>
      <c r="V679" s="252">
        <f>V648</f>
        <v>43.2</v>
      </c>
      <c r="W679" s="253"/>
      <c r="X679" s="252">
        <f t="shared" si="95"/>
        <v>1728</v>
      </c>
      <c r="AE679" s="370" t="str">
        <f t="shared" si="93"/>
        <v>|</v>
      </c>
      <c r="AG679" s="296" t="s">
        <v>2259</v>
      </c>
    </row>
    <row r="680" spans="1:33" ht="20.25"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0.25"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0.25"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0.25" customHeight="1">
      <c r="A683" s="363">
        <f t="shared" si="85"/>
        <v>481</v>
      </c>
      <c r="B683" s="365" t="s">
        <v>1363</v>
      </c>
      <c r="C683" s="314">
        <v>49.87</v>
      </c>
      <c r="D683" s="365" t="s">
        <v>868</v>
      </c>
      <c r="K683" s="358" t="s">
        <v>1586</v>
      </c>
      <c r="R683" s="358" t="s">
        <v>1586</v>
      </c>
      <c r="U683" s="274" t="s">
        <v>4003</v>
      </c>
      <c r="W683" s="253"/>
      <c r="X683" s="274">
        <f>SUM(X675:X682)</f>
        <v>84192.47</v>
      </c>
      <c r="AA683" s="356">
        <f>22.77+26.054</f>
        <v>48.823999999999998</v>
      </c>
      <c r="AE683" s="370">
        <f>0.52*100</f>
        <v>52</v>
      </c>
      <c r="AG683" s="296" t="s">
        <v>2259</v>
      </c>
    </row>
    <row r="684" spans="1:33" ht="20.25" customHeight="1">
      <c r="A684" s="363">
        <f t="shared" si="85"/>
        <v>482</v>
      </c>
      <c r="B684" s="365" t="s">
        <v>1815</v>
      </c>
      <c r="C684" s="314">
        <v>80</v>
      </c>
      <c r="D684" s="365" t="s">
        <v>868</v>
      </c>
      <c r="H684" s="296" t="s">
        <v>552</v>
      </c>
      <c r="K684" s="252">
        <f>SUM(K678:K682)</f>
        <v>480</v>
      </c>
      <c r="U684" s="274" t="s">
        <v>4004</v>
      </c>
      <c r="W684" s="253"/>
      <c r="X684" s="274">
        <f>X683/10</f>
        <v>8419.25</v>
      </c>
      <c r="Y684" s="252">
        <f>X684</f>
        <v>8419.25</v>
      </c>
      <c r="AC684" s="252">
        <f>26.19*0.02</f>
        <v>0.52</v>
      </c>
      <c r="AE684" s="370">
        <f>0.397*100</f>
        <v>39.700000000000003</v>
      </c>
      <c r="AF684" s="252">
        <f>AE681+AE682+AE683+AE684</f>
        <v>8206.1</v>
      </c>
      <c r="AG684" s="296" t="s">
        <v>2259</v>
      </c>
    </row>
    <row r="685" spans="1:33" ht="20.25"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4030</v>
      </c>
      <c r="V685" s="252">
        <f t="shared" si="94"/>
        <v>94.2</v>
      </c>
      <c r="W685" s="253"/>
      <c r="X685" s="252">
        <f>V685</f>
        <v>94.2</v>
      </c>
      <c r="AC685" s="356">
        <f>9.92*0.04</f>
        <v>0.39700000000000002</v>
      </c>
      <c r="AE685" s="370" t="str">
        <f t="shared" ref="AE685:AE748" si="96">AG685</f>
        <v>|</v>
      </c>
      <c r="AG685" s="296" t="s">
        <v>2259</v>
      </c>
    </row>
    <row r="686" spans="1:33" ht="20.25"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4005</v>
      </c>
      <c r="W686" s="253"/>
      <c r="X686" s="274">
        <f>SUM(X684:X685)</f>
        <v>8513.4500000000007</v>
      </c>
      <c r="Y686" s="252">
        <f>SUM(Y684:Y685)</f>
        <v>8419.25</v>
      </c>
      <c r="AE686" s="370" t="str">
        <f t="shared" si="96"/>
        <v>|</v>
      </c>
      <c r="AF686" s="252">
        <f>SUM(AF684:AF685)</f>
        <v>8206.1</v>
      </c>
      <c r="AG686" s="296" t="s">
        <v>2259</v>
      </c>
    </row>
    <row r="687" spans="1:33" ht="20.25"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4006</v>
      </c>
      <c r="V687" s="429" t="s">
        <v>657</v>
      </c>
      <c r="W687" s="253"/>
      <c r="X687" s="252">
        <f>X686*0.5%</f>
        <v>42.57</v>
      </c>
      <c r="Y687" s="252">
        <f>Y686*0.5/100</f>
        <v>42.1</v>
      </c>
      <c r="AE687" s="370" t="str">
        <f t="shared" si="96"/>
        <v>|</v>
      </c>
      <c r="AF687" s="252">
        <f>AF686/185.82</f>
        <v>44.16</v>
      </c>
      <c r="AG687" s="296" t="s">
        <v>2259</v>
      </c>
    </row>
    <row r="688" spans="1:33" ht="20.2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8556.02</v>
      </c>
      <c r="Y688" s="274">
        <f>SUM(Y686:Y687)</f>
        <v>8461.35</v>
      </c>
      <c r="Z688" s="430" t="s">
        <v>4016</v>
      </c>
      <c r="AE688" s="370" t="str">
        <f t="shared" si="96"/>
        <v>|</v>
      </c>
      <c r="AF688" s="252">
        <f>AF686/1000</f>
        <v>8.2100000000000009</v>
      </c>
      <c r="AG688" s="296" t="s">
        <v>2259</v>
      </c>
    </row>
    <row r="689" spans="1:33" ht="20.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0.25"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8675.8700000000008</v>
      </c>
      <c r="AE690" s="370" t="str">
        <f t="shared" si="96"/>
        <v>|</v>
      </c>
      <c r="AF690" s="252">
        <f>AF686/AF689</f>
        <v>4.0999999999999996</v>
      </c>
      <c r="AG690" s="296" t="s">
        <v>2259</v>
      </c>
    </row>
    <row r="691" spans="1:33" ht="20.25" customHeight="1">
      <c r="A691" s="363">
        <f t="shared" si="85"/>
        <v>489</v>
      </c>
      <c r="B691" s="365" t="s">
        <v>2025</v>
      </c>
      <c r="C691" s="314">
        <v>52</v>
      </c>
      <c r="D691" s="365" t="s">
        <v>868</v>
      </c>
      <c r="F691" s="253" t="s">
        <v>1816</v>
      </c>
      <c r="H691" s="296" t="s">
        <v>759</v>
      </c>
      <c r="R691" s="358" t="s">
        <v>1586</v>
      </c>
      <c r="U691" s="296" t="s">
        <v>388</v>
      </c>
      <c r="W691" s="253"/>
      <c r="X691" s="274">
        <f>(X690+C24)</f>
        <v>8911.9699999999993</v>
      </c>
      <c r="AE691" s="370" t="str">
        <f t="shared" si="96"/>
        <v>|</v>
      </c>
      <c r="AF691" s="252">
        <f>924.2/8.21</f>
        <v>112.57</v>
      </c>
      <c r="AG691" s="296" t="s">
        <v>2259</v>
      </c>
    </row>
    <row r="692" spans="1:33" ht="20.25"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9148.07</v>
      </c>
      <c r="AE692" s="370" t="str">
        <f t="shared" si="96"/>
        <v>|</v>
      </c>
      <c r="AG692" s="296" t="s">
        <v>2259</v>
      </c>
    </row>
    <row r="693" spans="1:33" ht="20.25" customHeight="1">
      <c r="A693" s="363">
        <f t="shared" si="85"/>
        <v>491</v>
      </c>
      <c r="B693" s="365" t="s">
        <v>927</v>
      </c>
      <c r="C693" s="314">
        <v>37.5</v>
      </c>
      <c r="D693" s="365" t="s">
        <v>868</v>
      </c>
      <c r="H693" s="296" t="s">
        <v>334</v>
      </c>
      <c r="R693" s="358" t="s">
        <v>1586</v>
      </c>
      <c r="U693" s="296" t="s">
        <v>380</v>
      </c>
      <c r="W693" s="253"/>
      <c r="X693" s="274">
        <f>(X692+C24)</f>
        <v>9384.17</v>
      </c>
      <c r="AE693" s="370" t="str">
        <f t="shared" si="96"/>
        <v>|</v>
      </c>
      <c r="AG693" s="296" t="s">
        <v>2259</v>
      </c>
    </row>
    <row r="694" spans="1:33" ht="20.25" customHeight="1">
      <c r="A694" s="363">
        <f t="shared" si="85"/>
        <v>492</v>
      </c>
      <c r="B694" s="365" t="s">
        <v>928</v>
      </c>
      <c r="C694" s="314">
        <v>24</v>
      </c>
      <c r="D694" s="365" t="s">
        <v>868</v>
      </c>
      <c r="H694" s="296" t="s">
        <v>1503</v>
      </c>
      <c r="O694" s="252" t="s">
        <v>249</v>
      </c>
      <c r="U694" s="296" t="s">
        <v>1532</v>
      </c>
      <c r="W694" s="253"/>
      <c r="X694" s="274">
        <f>(X693+C24)</f>
        <v>9620.27</v>
      </c>
      <c r="AE694" s="370" t="str">
        <f t="shared" si="96"/>
        <v>|</v>
      </c>
      <c r="AG694" s="296" t="s">
        <v>2259</v>
      </c>
    </row>
    <row r="695" spans="1:33" ht="20.25" customHeight="1">
      <c r="A695" s="363">
        <f t="shared" si="85"/>
        <v>493</v>
      </c>
      <c r="B695" s="365" t="s">
        <v>929</v>
      </c>
      <c r="C695" s="314">
        <v>16</v>
      </c>
      <c r="D695" s="365" t="s">
        <v>868</v>
      </c>
      <c r="H695" s="296" t="s">
        <v>170</v>
      </c>
      <c r="N695" s="296" t="s">
        <v>2251</v>
      </c>
      <c r="O695" s="296" t="s">
        <v>481</v>
      </c>
      <c r="W695" s="253"/>
      <c r="X695" s="252">
        <f>X694+C24</f>
        <v>9856.3700000000008</v>
      </c>
      <c r="AE695" s="370" t="str">
        <f t="shared" si="96"/>
        <v>|</v>
      </c>
      <c r="AG695" s="296" t="s">
        <v>2259</v>
      </c>
    </row>
    <row r="696" spans="1:33" ht="20.25" customHeight="1">
      <c r="A696" s="363">
        <f t="shared" si="85"/>
        <v>494</v>
      </c>
      <c r="B696" s="296" t="s">
        <v>5301</v>
      </c>
      <c r="C696" s="370">
        <v>32.1</v>
      </c>
      <c r="D696" s="365" t="s">
        <v>868</v>
      </c>
      <c r="H696" s="296" t="s">
        <v>172</v>
      </c>
      <c r="O696" s="296" t="s">
        <v>1602</v>
      </c>
      <c r="W696" s="253"/>
      <c r="X696" s="252">
        <f>X695+C24</f>
        <v>10092.469999999999</v>
      </c>
      <c r="AE696" s="370" t="str">
        <f t="shared" si="96"/>
        <v>|</v>
      </c>
      <c r="AG696" s="296" t="s">
        <v>2259</v>
      </c>
    </row>
    <row r="697" spans="1:33" ht="20.25" customHeight="1">
      <c r="A697" s="363">
        <f t="shared" si="85"/>
        <v>495</v>
      </c>
      <c r="B697" s="365" t="s">
        <v>3878</v>
      </c>
      <c r="C697" s="314">
        <v>6</v>
      </c>
      <c r="D697" s="365" t="s">
        <v>868</v>
      </c>
      <c r="H697" s="296" t="s">
        <v>2070</v>
      </c>
      <c r="O697" s="358" t="s">
        <v>1586</v>
      </c>
      <c r="W697" s="253"/>
      <c r="X697" s="252">
        <f>X696+C24</f>
        <v>10328.57</v>
      </c>
      <c r="AE697" s="370" t="str">
        <f t="shared" si="96"/>
        <v>|</v>
      </c>
      <c r="AG697" s="296" t="s">
        <v>2259</v>
      </c>
    </row>
    <row r="698" spans="1:33" ht="20.25" customHeight="1">
      <c r="A698" s="363">
        <f t="shared" si="85"/>
        <v>496</v>
      </c>
      <c r="B698" s="365" t="s">
        <v>126</v>
      </c>
      <c r="C698" s="364">
        <v>152.5</v>
      </c>
      <c r="D698" s="365" t="s">
        <v>1771</v>
      </c>
      <c r="E698" s="362">
        <v>98.6</v>
      </c>
      <c r="F698" s="252" t="s">
        <v>4591</v>
      </c>
      <c r="H698" s="358" t="s">
        <v>1586</v>
      </c>
      <c r="I698" s="358" t="s">
        <v>1586</v>
      </c>
      <c r="M698" s="252">
        <v>1</v>
      </c>
      <c r="N698" s="296" t="s">
        <v>868</v>
      </c>
      <c r="O698" s="296" t="s">
        <v>485</v>
      </c>
      <c r="P698" s="252">
        <f>(C385)</f>
        <v>19.3</v>
      </c>
      <c r="Q698" s="296" t="s">
        <v>868</v>
      </c>
      <c r="R698" s="252">
        <f>(M698*P698)</f>
        <v>19.3</v>
      </c>
      <c r="W698" s="253"/>
      <c r="X698" s="252">
        <f>X697+C24</f>
        <v>10564.67</v>
      </c>
      <c r="AE698" s="370" t="str">
        <f t="shared" si="96"/>
        <v>|</v>
      </c>
      <c r="AG698" s="296" t="s">
        <v>2259</v>
      </c>
    </row>
    <row r="699" spans="1:33" ht="20.25" customHeight="1">
      <c r="A699" s="363">
        <f t="shared" si="85"/>
        <v>497</v>
      </c>
      <c r="B699" s="296" t="s">
        <v>5302</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10800.77</v>
      </c>
      <c r="AE699" s="370" t="str">
        <f t="shared" si="96"/>
        <v>|</v>
      </c>
      <c r="AG699" s="296" t="s">
        <v>2259</v>
      </c>
    </row>
    <row r="700" spans="1:33" ht="20.25"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11036.87</v>
      </c>
      <c r="AE700" s="370" t="str">
        <f t="shared" si="96"/>
        <v>|</v>
      </c>
      <c r="AG700" s="296" t="s">
        <v>2259</v>
      </c>
    </row>
    <row r="701" spans="1:33" ht="20.25"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11272.97</v>
      </c>
      <c r="AE701" s="370" t="str">
        <f t="shared" si="96"/>
        <v>|</v>
      </c>
      <c r="AG701" s="296" t="s">
        <v>2259</v>
      </c>
    </row>
    <row r="702" spans="1:33" ht="20.25"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11509.07</v>
      </c>
      <c r="AE702" s="370" t="str">
        <f t="shared" si="96"/>
        <v>|</v>
      </c>
      <c r="AG702" s="296" t="s">
        <v>2259</v>
      </c>
    </row>
    <row r="703" spans="1:33" ht="20.25"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0.25" customHeight="1">
      <c r="A704" s="364"/>
      <c r="B704" s="252" t="s">
        <v>5303</v>
      </c>
      <c r="C704" s="362">
        <v>3325</v>
      </c>
      <c r="D704" s="364" t="s">
        <v>609</v>
      </c>
      <c r="H704" s="296" t="s">
        <v>552</v>
      </c>
      <c r="K704" s="252">
        <f>SUM(K699:K702)</f>
        <v>650</v>
      </c>
      <c r="U704" s="274" t="s">
        <v>3992</v>
      </c>
      <c r="W704" s="253"/>
      <c r="AE704" s="370" t="str">
        <f t="shared" si="96"/>
        <v>|</v>
      </c>
      <c r="AG704" s="296" t="s">
        <v>2259</v>
      </c>
    </row>
    <row r="705" spans="1:33" ht="20.25" customHeight="1">
      <c r="A705" s="363">
        <f>(A703+1)</f>
        <v>502</v>
      </c>
      <c r="B705" s="296" t="s">
        <v>187</v>
      </c>
      <c r="C705" s="428">
        <v>254</v>
      </c>
      <c r="D705" s="365" t="s">
        <v>868</v>
      </c>
      <c r="H705" s="296" t="s">
        <v>1581</v>
      </c>
      <c r="K705" s="358" t="s">
        <v>2055</v>
      </c>
      <c r="S705" s="356">
        <v>5</v>
      </c>
      <c r="T705" s="252" t="s">
        <v>1341</v>
      </c>
      <c r="U705" s="252" t="s">
        <v>6095</v>
      </c>
      <c r="V705" s="252">
        <f>AC14</f>
        <v>1807.94</v>
      </c>
      <c r="W705" s="253"/>
      <c r="X705" s="252">
        <f>V705*S705</f>
        <v>9039.7000000000007</v>
      </c>
      <c r="Z705" s="252">
        <f>X705</f>
        <v>9039.7000000000007</v>
      </c>
      <c r="AE705" s="370" t="str">
        <f t="shared" si="96"/>
        <v>|</v>
      </c>
      <c r="AG705" s="296" t="s">
        <v>2259</v>
      </c>
    </row>
    <row r="706" spans="1:33" ht="20.25"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6096</v>
      </c>
      <c r="V706" s="252">
        <f>(AC12+AC13)/2</f>
        <v>1517.94</v>
      </c>
      <c r="W706" s="253"/>
      <c r="X706" s="252">
        <f t="shared" ref="X706:X712" si="98">V706*S706</f>
        <v>5009.2</v>
      </c>
      <c r="Z706" s="252">
        <f t="shared" ref="Z706:Z714" si="99">X706</f>
        <v>5009.2</v>
      </c>
      <c r="AE706" s="370" t="str">
        <f t="shared" si="96"/>
        <v>|</v>
      </c>
      <c r="AG706" s="296" t="s">
        <v>2259</v>
      </c>
    </row>
    <row r="707" spans="1:33" ht="20.25"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6097</v>
      </c>
      <c r="V707" s="252">
        <f>V644</f>
        <v>1741.58</v>
      </c>
      <c r="W707" s="253"/>
      <c r="X707" s="252">
        <f t="shared" si="98"/>
        <v>8342.17</v>
      </c>
      <c r="Z707" s="252">
        <f t="shared" si="99"/>
        <v>8342.17</v>
      </c>
      <c r="AE707" s="370" t="str">
        <f t="shared" si="96"/>
        <v>|</v>
      </c>
      <c r="AG707" s="296" t="s">
        <v>2259</v>
      </c>
    </row>
    <row r="708" spans="1:33" ht="20.25"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20.2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4002</v>
      </c>
      <c r="V709" s="252">
        <f>V648</f>
        <v>43.2</v>
      </c>
      <c r="W709" s="253"/>
      <c r="X709" s="252">
        <f t="shared" si="98"/>
        <v>842.4</v>
      </c>
      <c r="Z709" s="252">
        <f t="shared" si="99"/>
        <v>842.4</v>
      </c>
      <c r="AE709" s="370" t="str">
        <f t="shared" si="96"/>
        <v>|</v>
      </c>
      <c r="AG709" s="296" t="s">
        <v>2259</v>
      </c>
    </row>
    <row r="710" spans="1:33" ht="20.25"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0.25"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0.25"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0.25" customHeight="1">
      <c r="A713" s="363">
        <f t="shared" si="97"/>
        <v>510</v>
      </c>
      <c r="B713" s="365" t="s">
        <v>1116</v>
      </c>
      <c r="C713" s="314">
        <v>16.399999999999999</v>
      </c>
      <c r="D713" s="365" t="s">
        <v>868</v>
      </c>
      <c r="F713" s="253" t="s">
        <v>1355</v>
      </c>
      <c r="H713" s="296" t="s">
        <v>189</v>
      </c>
      <c r="O713" s="296" t="s">
        <v>1565</v>
      </c>
      <c r="R713" s="252">
        <f>SUM(R709:R711)</f>
        <v>40.049999999999997</v>
      </c>
      <c r="U713" s="252" t="s">
        <v>4003</v>
      </c>
      <c r="V713" s="252">
        <f>V683</f>
        <v>0</v>
      </c>
      <c r="W713" s="253"/>
      <c r="X713" s="274">
        <f>SUM(X705:X712)</f>
        <v>78776.87</v>
      </c>
      <c r="Z713" s="252">
        <f t="shared" si="99"/>
        <v>78776.87</v>
      </c>
      <c r="AE713" s="370" t="str">
        <f t="shared" si="96"/>
        <v>|</v>
      </c>
      <c r="AG713" s="296" t="s">
        <v>2259</v>
      </c>
    </row>
    <row r="714" spans="1:33" ht="20.25" customHeight="1">
      <c r="A714" s="363">
        <f t="shared" si="97"/>
        <v>511</v>
      </c>
      <c r="B714" s="365" t="s">
        <v>1117</v>
      </c>
      <c r="C714" s="314">
        <v>27.85</v>
      </c>
      <c r="D714" s="365" t="s">
        <v>868</v>
      </c>
      <c r="H714" s="296" t="s">
        <v>1454</v>
      </c>
      <c r="R714" s="358" t="s">
        <v>1586</v>
      </c>
      <c r="U714" s="252" t="s">
        <v>4004</v>
      </c>
      <c r="V714" s="252">
        <f>V684</f>
        <v>0</v>
      </c>
      <c r="W714" s="253"/>
      <c r="X714" s="274">
        <f>X713/10</f>
        <v>7877.69</v>
      </c>
      <c r="Z714" s="252">
        <f t="shared" si="99"/>
        <v>7877.69</v>
      </c>
      <c r="AE714" s="370" t="str">
        <f t="shared" si="96"/>
        <v>|</v>
      </c>
      <c r="AG714" s="296" t="s">
        <v>2259</v>
      </c>
    </row>
    <row r="715" spans="1:33" ht="20.25" customHeight="1">
      <c r="A715" s="363">
        <f t="shared" si="97"/>
        <v>512</v>
      </c>
      <c r="B715" s="365" t="s">
        <v>1118</v>
      </c>
      <c r="C715" s="314">
        <v>49.9</v>
      </c>
      <c r="D715" s="365" t="s">
        <v>868</v>
      </c>
      <c r="H715" s="296" t="s">
        <v>1457</v>
      </c>
      <c r="O715" s="253" t="s">
        <v>662</v>
      </c>
      <c r="R715" s="296" t="s">
        <v>975</v>
      </c>
      <c r="S715" s="356">
        <v>1</v>
      </c>
      <c r="T715" s="252" t="s">
        <v>1341</v>
      </c>
      <c r="U715" s="252" t="s">
        <v>4030</v>
      </c>
      <c r="V715" s="252">
        <f>C25</f>
        <v>94.2</v>
      </c>
      <c r="W715" s="253"/>
      <c r="X715" s="252">
        <f>V715*S715</f>
        <v>94.2</v>
      </c>
      <c r="AE715" s="370" t="str">
        <f t="shared" si="96"/>
        <v>|</v>
      </c>
      <c r="AG715" s="296" t="s">
        <v>2259</v>
      </c>
    </row>
    <row r="716" spans="1:33" ht="20.25" customHeight="1">
      <c r="A716" s="363">
        <f t="shared" si="97"/>
        <v>513</v>
      </c>
      <c r="B716" s="365" t="s">
        <v>1120</v>
      </c>
      <c r="C716" s="314">
        <v>69.25</v>
      </c>
      <c r="D716" s="365" t="s">
        <v>868</v>
      </c>
      <c r="H716" s="358" t="s">
        <v>1586</v>
      </c>
      <c r="M716" s="316"/>
      <c r="O716" s="253" t="s">
        <v>2084</v>
      </c>
      <c r="U716" s="252" t="s">
        <v>4005</v>
      </c>
      <c r="V716" s="252">
        <f>V686</f>
        <v>0</v>
      </c>
      <c r="W716" s="253"/>
      <c r="X716" s="274">
        <f>SUM(X714:X715)</f>
        <v>7971.89</v>
      </c>
      <c r="Z716" s="252">
        <f>Z714</f>
        <v>7877.69</v>
      </c>
      <c r="AE716" s="370" t="str">
        <f t="shared" si="96"/>
        <v>|</v>
      </c>
      <c r="AG716" s="296" t="s">
        <v>2259</v>
      </c>
    </row>
    <row r="717" spans="1:33" ht="20.25"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4006</v>
      </c>
      <c r="V717" s="252" t="str">
        <f>V687</f>
        <v>LS</v>
      </c>
      <c r="W717" s="253"/>
      <c r="X717" s="252">
        <f>X716*0.5%</f>
        <v>39.86</v>
      </c>
      <c r="Z717" s="252">
        <f>Z716*0.5/100</f>
        <v>39.39</v>
      </c>
      <c r="AE717" s="370" t="str">
        <f t="shared" si="96"/>
        <v>|::</v>
      </c>
      <c r="AG717" s="296" t="s">
        <v>321</v>
      </c>
    </row>
    <row r="718" spans="1:33" ht="20.25"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8011.75</v>
      </c>
      <c r="Z718" s="274">
        <f>SUM(Z716:Z717)</f>
        <v>7917.08</v>
      </c>
      <c r="AE718" s="370">
        <f t="shared" si="96"/>
        <v>0</v>
      </c>
    </row>
    <row r="719" spans="1:33" ht="20.25"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0.25"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8131.6</v>
      </c>
      <c r="AE720" s="370">
        <f t="shared" si="96"/>
        <v>0</v>
      </c>
    </row>
    <row r="721" spans="1:33" ht="20.25"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8367.7000000000007</v>
      </c>
      <c r="AE721" s="370" t="str">
        <f t="shared" si="96"/>
        <v>|</v>
      </c>
      <c r="AG721" s="296" t="s">
        <v>2259</v>
      </c>
    </row>
    <row r="722" spans="1:33" ht="20.25"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8603.7999999999993</v>
      </c>
      <c r="AE722" s="370" t="str">
        <f t="shared" si="96"/>
        <v>|</v>
      </c>
      <c r="AG722" s="296" t="s">
        <v>2259</v>
      </c>
    </row>
    <row r="723" spans="1:33" ht="20.25"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8839.9</v>
      </c>
      <c r="AE723" s="370" t="str">
        <f t="shared" si="96"/>
        <v>|</v>
      </c>
      <c r="AG723" s="296" t="s">
        <v>2259</v>
      </c>
    </row>
    <row r="724" spans="1:33" ht="20.25"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9076</v>
      </c>
      <c r="AE724" s="370" t="str">
        <f t="shared" si="96"/>
        <v>|</v>
      </c>
      <c r="AG724" s="296" t="s">
        <v>2259</v>
      </c>
    </row>
    <row r="725" spans="1:33" ht="20.25" customHeight="1">
      <c r="A725" s="363">
        <f t="shared" si="97"/>
        <v>522</v>
      </c>
      <c r="B725" s="296" t="s">
        <v>5861</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0.25"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0.25"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0.25"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4626</v>
      </c>
      <c r="W728" s="253"/>
      <c r="AE728" s="370" t="str">
        <f t="shared" si="96"/>
        <v>|</v>
      </c>
      <c r="AG728" s="296" t="s">
        <v>2259</v>
      </c>
    </row>
    <row r="729" spans="1:33" ht="20.25" customHeight="1">
      <c r="A729" s="363">
        <f t="shared" si="97"/>
        <v>526</v>
      </c>
      <c r="B729" s="365" t="s">
        <v>648</v>
      </c>
      <c r="C729" s="314">
        <v>1250</v>
      </c>
      <c r="D729" s="365" t="s">
        <v>609</v>
      </c>
      <c r="K729" s="358" t="s">
        <v>1586</v>
      </c>
      <c r="R729" s="358" t="s">
        <v>1586</v>
      </c>
      <c r="S729" s="356">
        <v>5</v>
      </c>
      <c r="T729" s="252" t="s">
        <v>1341</v>
      </c>
      <c r="U729" s="252" t="s">
        <v>6095</v>
      </c>
      <c r="V729" s="252">
        <f>V675</f>
        <v>1807.94</v>
      </c>
      <c r="W729" s="253"/>
      <c r="X729" s="252">
        <f t="shared" ref="X729:X736" si="101">V729*S729</f>
        <v>9039.7000000000007</v>
      </c>
      <c r="AE729" s="370" t="str">
        <f t="shared" si="96"/>
        <v>|</v>
      </c>
      <c r="AG729" s="296" t="s">
        <v>2259</v>
      </c>
    </row>
    <row r="730" spans="1:33" ht="20.25"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6096</v>
      </c>
      <c r="V730" s="252">
        <f t="shared" ref="V730:V739" si="102">V676</f>
        <v>1517.94</v>
      </c>
      <c r="W730" s="253"/>
      <c r="X730" s="252">
        <f t="shared" si="101"/>
        <v>5009.2</v>
      </c>
      <c r="AE730" s="370" t="str">
        <f t="shared" si="96"/>
        <v>|</v>
      </c>
      <c r="AG730" s="296" t="s">
        <v>2259</v>
      </c>
    </row>
    <row r="731" spans="1:33" ht="20.25" customHeight="1">
      <c r="A731" s="363">
        <f t="shared" si="97"/>
        <v>528</v>
      </c>
      <c r="B731" s="365" t="s">
        <v>1235</v>
      </c>
      <c r="C731" s="314">
        <v>1250</v>
      </c>
      <c r="D731" s="365" t="s">
        <v>609</v>
      </c>
      <c r="K731" s="358" t="s">
        <v>1586</v>
      </c>
      <c r="R731" s="358" t="s">
        <v>2055</v>
      </c>
      <c r="S731" s="356">
        <v>4.79</v>
      </c>
      <c r="T731" s="252" t="s">
        <v>1341</v>
      </c>
      <c r="U731" s="252" t="s">
        <v>6097</v>
      </c>
      <c r="V731" s="252">
        <f t="shared" si="102"/>
        <v>1741.58</v>
      </c>
      <c r="W731" s="253"/>
      <c r="X731" s="252">
        <f t="shared" si="101"/>
        <v>8342.17</v>
      </c>
      <c r="AE731" s="370" t="str">
        <f t="shared" si="96"/>
        <v>|</v>
      </c>
      <c r="AG731" s="296" t="s">
        <v>2259</v>
      </c>
    </row>
    <row r="732" spans="1:33" ht="20.25"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0.25" customHeight="1">
      <c r="A733" s="363">
        <f t="shared" si="97"/>
        <v>530</v>
      </c>
      <c r="B733" s="365" t="s">
        <v>522</v>
      </c>
      <c r="C733" s="314">
        <v>1250</v>
      </c>
      <c r="D733" s="365" t="s">
        <v>609</v>
      </c>
      <c r="K733" s="358" t="s">
        <v>2055</v>
      </c>
      <c r="O733" s="358" t="s">
        <v>1586</v>
      </c>
      <c r="S733" s="356">
        <v>28</v>
      </c>
      <c r="T733" s="252" t="s">
        <v>1645</v>
      </c>
      <c r="U733" s="252" t="s">
        <v>4008</v>
      </c>
      <c r="V733" s="252">
        <f t="shared" si="102"/>
        <v>43.2</v>
      </c>
      <c r="W733" s="253"/>
      <c r="X733" s="252">
        <f t="shared" si="101"/>
        <v>1209.5999999999999</v>
      </c>
      <c r="AE733" s="370" t="str">
        <f t="shared" si="96"/>
        <v>|</v>
      </c>
      <c r="AG733" s="296" t="s">
        <v>2259</v>
      </c>
    </row>
    <row r="734" spans="1:33" ht="20.25"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0.25"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0.25"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0.25"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4003</v>
      </c>
      <c r="V737" s="252">
        <f t="shared" si="102"/>
        <v>0</v>
      </c>
      <c r="W737" s="253"/>
      <c r="X737" s="274">
        <f>SUM(X729:X736)</f>
        <v>80654.070000000007</v>
      </c>
      <c r="AE737" s="370" t="str">
        <f t="shared" si="96"/>
        <v>|</v>
      </c>
      <c r="AG737" s="296" t="s">
        <v>2259</v>
      </c>
    </row>
    <row r="738" spans="1:33" ht="20.25"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4004</v>
      </c>
      <c r="V738" s="252">
        <f t="shared" si="102"/>
        <v>0</v>
      </c>
      <c r="W738" s="253"/>
      <c r="X738" s="274">
        <f>X737/10</f>
        <v>8065.41</v>
      </c>
      <c r="Y738" s="252">
        <f>X738</f>
        <v>8065.41</v>
      </c>
      <c r="AE738" s="370" t="str">
        <f t="shared" si="96"/>
        <v>|</v>
      </c>
      <c r="AG738" s="296" t="s">
        <v>2259</v>
      </c>
    </row>
    <row r="739" spans="1:33" ht="20.25"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4030</v>
      </c>
      <c r="V739" s="252">
        <f t="shared" si="102"/>
        <v>94.2</v>
      </c>
      <c r="W739" s="253"/>
      <c r="X739" s="252">
        <f>V739</f>
        <v>94.2</v>
      </c>
      <c r="AE739" s="370" t="str">
        <f t="shared" si="96"/>
        <v>|</v>
      </c>
      <c r="AG739" s="296" t="s">
        <v>2259</v>
      </c>
    </row>
    <row r="740" spans="1:33" ht="20.25"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4005</v>
      </c>
      <c r="W740" s="253"/>
      <c r="X740" s="274">
        <f>SUM(X738:X739)</f>
        <v>8159.61</v>
      </c>
      <c r="Y740" s="252">
        <f>SUM(Y738:Y739)</f>
        <v>8065.41</v>
      </c>
      <c r="AE740" s="370" t="str">
        <f t="shared" si="96"/>
        <v>|</v>
      </c>
      <c r="AG740" s="296" t="s">
        <v>2259</v>
      </c>
    </row>
    <row r="741" spans="1:33" ht="20.25" customHeight="1">
      <c r="A741" s="363">
        <f t="shared" si="97"/>
        <v>538</v>
      </c>
      <c r="B741" s="365" t="s">
        <v>1657</v>
      </c>
      <c r="C741" s="364"/>
      <c r="D741" s="365" t="s">
        <v>975</v>
      </c>
      <c r="H741" s="296" t="s">
        <v>1226</v>
      </c>
      <c r="N741" s="296" t="s">
        <v>449</v>
      </c>
      <c r="O741" s="296" t="s">
        <v>450</v>
      </c>
      <c r="Q741" s="296" t="s">
        <v>449</v>
      </c>
      <c r="R741" s="252">
        <v>0</v>
      </c>
      <c r="S741" s="429" t="s">
        <v>657</v>
      </c>
      <c r="U741" s="252" t="s">
        <v>4006</v>
      </c>
      <c r="V741" s="429" t="s">
        <v>657</v>
      </c>
      <c r="W741" s="253"/>
      <c r="X741" s="252">
        <f>X740*0.5%</f>
        <v>40.799999999999997</v>
      </c>
      <c r="Y741" s="252">
        <f>Y740*0.5/100</f>
        <v>40.33</v>
      </c>
      <c r="AE741" s="370" t="str">
        <f t="shared" si="96"/>
        <v>|</v>
      </c>
      <c r="AG741" s="296" t="s">
        <v>2259</v>
      </c>
    </row>
    <row r="742" spans="1:33" ht="20.25"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8200.41</v>
      </c>
      <c r="Y742" s="274">
        <f>SUM(Y740:Y741)</f>
        <v>8105.74</v>
      </c>
      <c r="AE742" s="370" t="str">
        <f t="shared" si="96"/>
        <v>|</v>
      </c>
      <c r="AG742" s="296" t="s">
        <v>2259</v>
      </c>
    </row>
    <row r="743" spans="1:33" ht="20.25"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0.25" customHeight="1">
      <c r="A744" s="363">
        <f t="shared" si="97"/>
        <v>541</v>
      </c>
      <c r="B744" s="365" t="s">
        <v>26</v>
      </c>
      <c r="C744" s="314">
        <v>110.95</v>
      </c>
      <c r="D744" s="365" t="s">
        <v>1716</v>
      </c>
      <c r="H744" s="296" t="s">
        <v>980</v>
      </c>
      <c r="R744" s="358" t="s">
        <v>1586</v>
      </c>
      <c r="U744" s="296" t="s">
        <v>386</v>
      </c>
      <c r="W744" s="253"/>
      <c r="X744" s="274">
        <f>(X742+C22)</f>
        <v>8320.26</v>
      </c>
      <c r="AE744" s="370" t="str">
        <f t="shared" si="96"/>
        <v>|</v>
      </c>
      <c r="AG744" s="296" t="s">
        <v>2259</v>
      </c>
    </row>
    <row r="745" spans="1:33" ht="20.25"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8556.36</v>
      </c>
      <c r="AE745" s="370" t="str">
        <f t="shared" si="96"/>
        <v>|</v>
      </c>
      <c r="AG745" s="296" t="s">
        <v>2259</v>
      </c>
    </row>
    <row r="746" spans="1:33" ht="20.25" customHeight="1">
      <c r="A746" s="363">
        <f t="shared" si="97"/>
        <v>543</v>
      </c>
      <c r="B746" s="365" t="s">
        <v>896</v>
      </c>
      <c r="C746" s="314">
        <v>92</v>
      </c>
      <c r="D746" s="365" t="s">
        <v>1716</v>
      </c>
      <c r="H746" s="296" t="s">
        <v>1029</v>
      </c>
      <c r="R746" s="358" t="s">
        <v>2055</v>
      </c>
      <c r="U746" s="296" t="s">
        <v>2232</v>
      </c>
      <c r="W746" s="253"/>
      <c r="X746" s="274">
        <f>(X745+C24)</f>
        <v>8792.4599999999991</v>
      </c>
      <c r="Y746" s="252">
        <f>X746-X745</f>
        <v>236.1</v>
      </c>
      <c r="AE746" s="370" t="str">
        <f t="shared" si="96"/>
        <v>|</v>
      </c>
      <c r="AG746" s="296" t="s">
        <v>2259</v>
      </c>
    </row>
    <row r="747" spans="1:33" ht="20.25" customHeight="1">
      <c r="A747" s="363">
        <f t="shared" si="97"/>
        <v>544</v>
      </c>
      <c r="B747" s="365" t="s">
        <v>312</v>
      </c>
      <c r="C747" s="314">
        <v>174.24</v>
      </c>
      <c r="D747" s="365" t="s">
        <v>1716</v>
      </c>
      <c r="G747" s="252" t="s">
        <v>449</v>
      </c>
      <c r="H747" s="296" t="s">
        <v>1656</v>
      </c>
      <c r="J747" s="296" t="s">
        <v>449</v>
      </c>
      <c r="K747" s="413">
        <v>40</v>
      </c>
      <c r="U747" s="296" t="s">
        <v>380</v>
      </c>
      <c r="W747" s="253"/>
      <c r="X747" s="274">
        <f>(X746+C24)</f>
        <v>9028.56</v>
      </c>
      <c r="AE747" s="370" t="str">
        <f t="shared" si="96"/>
        <v>|</v>
      </c>
      <c r="AG747" s="296" t="s">
        <v>2259</v>
      </c>
    </row>
    <row r="748" spans="1:33" ht="20.25"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9264.66</v>
      </c>
      <c r="Y748" s="252">
        <f>X748+Y746</f>
        <v>9500.76</v>
      </c>
      <c r="AE748" s="370" t="str">
        <f t="shared" si="96"/>
        <v>|</v>
      </c>
      <c r="AG748" s="296" t="s">
        <v>2259</v>
      </c>
    </row>
    <row r="749" spans="1:33" ht="20.25" customHeight="1">
      <c r="A749" s="363">
        <f t="shared" si="97"/>
        <v>546</v>
      </c>
      <c r="B749" s="365" t="s">
        <v>1621</v>
      </c>
      <c r="C749" s="314">
        <v>97.24</v>
      </c>
      <c r="D749" s="365" t="s">
        <v>1716</v>
      </c>
      <c r="H749" s="253" t="s">
        <v>3596</v>
      </c>
      <c r="K749" s="252">
        <f>SUM(K743:K747)</f>
        <v>965.38</v>
      </c>
      <c r="O749" s="358" t="s">
        <v>1586</v>
      </c>
      <c r="W749" s="253"/>
      <c r="X749" s="274">
        <f t="shared" si="104"/>
        <v>9358.86</v>
      </c>
      <c r="Y749" s="252">
        <f>Y748-X748</f>
        <v>236.1</v>
      </c>
      <c r="AE749" s="370" t="str">
        <f t="shared" ref="AE749:AE812" si="105">AG749</f>
        <v>|</v>
      </c>
      <c r="AG749" s="296" t="s">
        <v>2259</v>
      </c>
    </row>
    <row r="750" spans="1:33" ht="20.25"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9397.81</v>
      </c>
      <c r="AE750" s="370" t="str">
        <f t="shared" si="105"/>
        <v>|</v>
      </c>
      <c r="AG750" s="296" t="s">
        <v>2259</v>
      </c>
    </row>
    <row r="751" spans="1:33" ht="20.25" customHeight="1">
      <c r="A751" s="363">
        <f t="shared" si="97"/>
        <v>548</v>
      </c>
      <c r="B751" s="296" t="s">
        <v>5862</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9432.01</v>
      </c>
      <c r="AE751" s="370" t="str">
        <f t="shared" si="105"/>
        <v>|</v>
      </c>
      <c r="AG751" s="296" t="s">
        <v>2259</v>
      </c>
    </row>
    <row r="752" spans="1:33" ht="20.25" customHeight="1">
      <c r="A752" s="363">
        <f t="shared" si="97"/>
        <v>549</v>
      </c>
      <c r="B752" s="296" t="s">
        <v>5863</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9518.41</v>
      </c>
      <c r="AE752" s="370" t="str">
        <f t="shared" si="105"/>
        <v>|</v>
      </c>
      <c r="AG752" s="296" t="s">
        <v>2259</v>
      </c>
    </row>
    <row r="753" spans="1:33" ht="20.25"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10287.41</v>
      </c>
      <c r="AE753" s="370" t="str">
        <f t="shared" si="105"/>
        <v>|</v>
      </c>
      <c r="AG753" s="296" t="s">
        <v>2259</v>
      </c>
    </row>
    <row r="754" spans="1:33" ht="20.25" customHeight="1">
      <c r="A754" s="363">
        <f t="shared" si="97"/>
        <v>551</v>
      </c>
      <c r="B754" s="296" t="s">
        <v>5304</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0.25"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0.25"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0.25"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0.25" customHeight="1">
      <c r="A758" s="363">
        <f t="shared" si="97"/>
        <v>555</v>
      </c>
      <c r="B758" s="431" t="s">
        <v>774</v>
      </c>
      <c r="C758" s="364">
        <v>302</v>
      </c>
      <c r="D758" s="365" t="s">
        <v>2285</v>
      </c>
      <c r="H758" s="296" t="s">
        <v>1660</v>
      </c>
      <c r="R758" s="358" t="s">
        <v>1586</v>
      </c>
      <c r="W758" s="253"/>
      <c r="AE758" s="370" t="str">
        <f t="shared" si="105"/>
        <v>|</v>
      </c>
      <c r="AG758" s="296" t="s">
        <v>2259</v>
      </c>
    </row>
    <row r="759" spans="1:33" ht="20.25"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0.25"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5864</v>
      </c>
      <c r="W760" s="253"/>
      <c r="AE760" s="370" t="str">
        <f t="shared" si="105"/>
        <v>|</v>
      </c>
      <c r="AG760" s="296" t="s">
        <v>2259</v>
      </c>
    </row>
    <row r="761" spans="1:33" ht="20.25"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6095</v>
      </c>
      <c r="V761" s="252">
        <f>V675</f>
        <v>1807.94</v>
      </c>
      <c r="W761" s="253"/>
      <c r="X761" s="252">
        <f t="shared" ref="X761:X768" si="108">V761*S761</f>
        <v>9039.7000000000007</v>
      </c>
      <c r="AE761" s="370" t="str">
        <f t="shared" si="105"/>
        <v>|</v>
      </c>
      <c r="AG761" s="296" t="s">
        <v>2259</v>
      </c>
    </row>
    <row r="762" spans="1:33" ht="20.25"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6096</v>
      </c>
      <c r="V762" s="252">
        <f t="shared" ref="V762:V768" si="109">V676</f>
        <v>1517.94</v>
      </c>
      <c r="W762" s="253"/>
      <c r="X762" s="252">
        <f t="shared" si="108"/>
        <v>5009.2</v>
      </c>
      <c r="AE762" s="370" t="str">
        <f t="shared" si="105"/>
        <v>|</v>
      </c>
      <c r="AG762" s="296" t="s">
        <v>2259</v>
      </c>
    </row>
    <row r="763" spans="1:33" ht="20.25" customHeight="1">
      <c r="A763" s="363">
        <f t="shared" si="97"/>
        <v>560</v>
      </c>
      <c r="B763" s="365" t="s">
        <v>4592</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6097</v>
      </c>
      <c r="V763" s="252">
        <f t="shared" si="109"/>
        <v>1741.58</v>
      </c>
      <c r="W763" s="253"/>
      <c r="X763" s="252">
        <f t="shared" si="108"/>
        <v>8342.17</v>
      </c>
      <c r="AE763" s="370" t="str">
        <f t="shared" si="105"/>
        <v>|</v>
      </c>
      <c r="AG763" s="296" t="s">
        <v>2259</v>
      </c>
    </row>
    <row r="764" spans="1:33" ht="20.25" customHeight="1">
      <c r="A764" s="364" t="s">
        <v>2823</v>
      </c>
      <c r="B764" s="365" t="s">
        <v>5865</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0.25"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4008</v>
      </c>
      <c r="V765" s="252">
        <f t="shared" si="109"/>
        <v>43.2</v>
      </c>
      <c r="W765" s="253"/>
      <c r="X765" s="252">
        <f t="shared" si="108"/>
        <v>1728</v>
      </c>
      <c r="AE765" s="370" t="str">
        <f t="shared" si="105"/>
        <v>|</v>
      </c>
      <c r="AG765" s="296" t="s">
        <v>2259</v>
      </c>
    </row>
    <row r="766" spans="1:33" ht="20.25"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0.25"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0.25"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0.25" customHeight="1">
      <c r="A769" s="363">
        <f t="shared" si="110"/>
        <v>565</v>
      </c>
      <c r="B769" s="365" t="s">
        <v>567</v>
      </c>
      <c r="C769" s="364">
        <v>550</v>
      </c>
      <c r="D769" s="365" t="s">
        <v>1716</v>
      </c>
      <c r="K769" s="358" t="s">
        <v>1586</v>
      </c>
      <c r="U769" s="274" t="s">
        <v>4003</v>
      </c>
      <c r="W769" s="253"/>
      <c r="X769" s="274">
        <f>SUM(X761:X768)</f>
        <v>85702.47</v>
      </c>
      <c r="AE769" s="370" t="str">
        <f t="shared" si="105"/>
        <v>|</v>
      </c>
      <c r="AG769" s="296" t="s">
        <v>2259</v>
      </c>
    </row>
    <row r="770" spans="1:33" ht="20.25" customHeight="1">
      <c r="A770" s="363">
        <f t="shared" si="110"/>
        <v>566</v>
      </c>
      <c r="B770" s="365" t="s">
        <v>978</v>
      </c>
      <c r="C770" s="364">
        <v>286</v>
      </c>
      <c r="D770" s="365" t="s">
        <v>1716</v>
      </c>
      <c r="H770" s="253" t="s">
        <v>552</v>
      </c>
      <c r="K770" s="252">
        <f>(K768/10)</f>
        <v>946.62</v>
      </c>
      <c r="O770" s="296" t="s">
        <v>899</v>
      </c>
      <c r="R770" s="252">
        <f>(C723)</f>
        <v>1183.82</v>
      </c>
      <c r="U770" s="274" t="s">
        <v>4004</v>
      </c>
      <c r="W770" s="253"/>
      <c r="X770" s="274">
        <f>X769/10</f>
        <v>8570.25</v>
      </c>
      <c r="AE770" s="370" t="str">
        <f t="shared" si="105"/>
        <v>|</v>
      </c>
      <c r="AG770" s="296" t="s">
        <v>2259</v>
      </c>
    </row>
    <row r="771" spans="1:33" ht="20.25" customHeight="1">
      <c r="A771" s="363">
        <f t="shared" si="110"/>
        <v>567</v>
      </c>
      <c r="B771" s="365" t="s">
        <v>900</v>
      </c>
      <c r="C771" s="364">
        <v>96.3</v>
      </c>
      <c r="D771" s="365" t="s">
        <v>1771</v>
      </c>
      <c r="F771" s="296" t="s">
        <v>975</v>
      </c>
      <c r="R771" s="358" t="s">
        <v>2055</v>
      </c>
      <c r="S771" s="356">
        <v>1</v>
      </c>
      <c r="T771" s="252" t="s">
        <v>1341</v>
      </c>
      <c r="U771" s="252" t="s">
        <v>4030</v>
      </c>
      <c r="V771" s="252">
        <f>V807</f>
        <v>94.2</v>
      </c>
      <c r="W771" s="253"/>
      <c r="X771" s="252">
        <f>V771</f>
        <v>94.2</v>
      </c>
      <c r="AE771" s="370" t="str">
        <f t="shared" si="105"/>
        <v>|</v>
      </c>
      <c r="AG771" s="296" t="s">
        <v>2259</v>
      </c>
    </row>
    <row r="772" spans="1:33" ht="20.25" customHeight="1">
      <c r="A772" s="363">
        <f t="shared" si="110"/>
        <v>568</v>
      </c>
      <c r="B772" s="365" t="s">
        <v>839</v>
      </c>
      <c r="C772" s="364">
        <v>51</v>
      </c>
      <c r="D772" s="365" t="s">
        <v>1716</v>
      </c>
      <c r="K772" s="358" t="s">
        <v>2055</v>
      </c>
      <c r="U772" s="252" t="s">
        <v>4005</v>
      </c>
      <c r="W772" s="253"/>
      <c r="X772" s="274">
        <f>SUM(X770:X771)</f>
        <v>8664.4500000000007</v>
      </c>
      <c r="AE772" s="370" t="str">
        <f t="shared" si="105"/>
        <v>|</v>
      </c>
      <c r="AG772" s="296" t="s">
        <v>2259</v>
      </c>
    </row>
    <row r="773" spans="1:33" ht="20.25"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4006</v>
      </c>
      <c r="V773" s="429" t="s">
        <v>657</v>
      </c>
      <c r="W773" s="253"/>
      <c r="X773" s="252">
        <f>X772*0.5%</f>
        <v>43.32</v>
      </c>
      <c r="AE773" s="370" t="str">
        <f t="shared" si="105"/>
        <v>|</v>
      </c>
      <c r="AG773" s="296" t="s">
        <v>2259</v>
      </c>
    </row>
    <row r="774" spans="1:33" ht="20.25"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8707.77</v>
      </c>
      <c r="AE774" s="370" t="str">
        <f t="shared" si="105"/>
        <v>|</v>
      </c>
      <c r="AG774" s="296" t="s">
        <v>2259</v>
      </c>
    </row>
    <row r="775" spans="1:33" ht="20.25"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0.25" customHeight="1">
      <c r="A776" s="363">
        <f t="shared" si="110"/>
        <v>572</v>
      </c>
      <c r="B776" s="365" t="s">
        <v>1959</v>
      </c>
      <c r="C776" s="364">
        <v>92</v>
      </c>
      <c r="D776" s="365" t="s">
        <v>1771</v>
      </c>
      <c r="H776" s="358" t="s">
        <v>1586</v>
      </c>
      <c r="O776" s="296" t="s">
        <v>2083</v>
      </c>
      <c r="U776" s="296" t="s">
        <v>386</v>
      </c>
      <c r="W776" s="253"/>
      <c r="X776" s="274">
        <f>(X774+C22)</f>
        <v>8827.6200000000008</v>
      </c>
      <c r="AE776" s="370" t="str">
        <f t="shared" si="105"/>
        <v>|::</v>
      </c>
      <c r="AG776" s="296" t="s">
        <v>321</v>
      </c>
    </row>
    <row r="777" spans="1:33" ht="20.25"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9063.7199999999993</v>
      </c>
      <c r="AE777" s="370">
        <f t="shared" si="105"/>
        <v>0</v>
      </c>
    </row>
    <row r="778" spans="1:33" ht="20.25" customHeight="1">
      <c r="A778" s="363">
        <f t="shared" si="110"/>
        <v>574</v>
      </c>
      <c r="B778" s="365" t="s">
        <v>715</v>
      </c>
      <c r="C778" s="364">
        <v>53.2</v>
      </c>
      <c r="D778" s="365" t="s">
        <v>1716</v>
      </c>
      <c r="H778" s="296" t="s">
        <v>901</v>
      </c>
      <c r="O778" s="296" t="s">
        <v>1042</v>
      </c>
      <c r="U778" s="296" t="s">
        <v>2232</v>
      </c>
      <c r="W778" s="253"/>
      <c r="X778" s="274">
        <f>(X777+C24)</f>
        <v>9299.82</v>
      </c>
      <c r="AE778" s="370">
        <f t="shared" si="105"/>
        <v>0</v>
      </c>
    </row>
    <row r="779" spans="1:33" ht="20.25" customHeight="1">
      <c r="A779" s="363">
        <f t="shared" si="110"/>
        <v>575</v>
      </c>
      <c r="B779" s="365" t="s">
        <v>1043</v>
      </c>
      <c r="C779" s="364">
        <v>59</v>
      </c>
      <c r="D779" s="365" t="s">
        <v>1716</v>
      </c>
      <c r="H779" s="296" t="s">
        <v>840</v>
      </c>
      <c r="O779" s="296" t="s">
        <v>1101</v>
      </c>
      <c r="U779" s="296" t="s">
        <v>380</v>
      </c>
      <c r="W779" s="253"/>
      <c r="X779" s="274">
        <f>(X778+C24)</f>
        <v>9535.92</v>
      </c>
      <c r="AE779" s="370" t="str">
        <f t="shared" si="105"/>
        <v>|</v>
      </c>
      <c r="AG779" s="296" t="s">
        <v>2259</v>
      </c>
    </row>
    <row r="780" spans="1:33" ht="20.25"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9772.02</v>
      </c>
      <c r="AE780" s="370">
        <f t="shared" si="105"/>
        <v>0</v>
      </c>
    </row>
    <row r="781" spans="1:33" ht="20.25" customHeight="1">
      <c r="A781" s="363">
        <f t="shared" si="110"/>
        <v>577</v>
      </c>
      <c r="B781" s="365" t="s">
        <v>1111</v>
      </c>
      <c r="C781" s="364">
        <v>49.52</v>
      </c>
      <c r="D781" s="365" t="s">
        <v>1771</v>
      </c>
      <c r="H781" s="296" t="s">
        <v>1001</v>
      </c>
      <c r="O781" s="296" t="s">
        <v>975</v>
      </c>
      <c r="W781" s="253"/>
      <c r="X781" s="274">
        <f>(X780+C$24)</f>
        <v>10008.120000000001</v>
      </c>
      <c r="AE781" s="370" t="str">
        <f t="shared" si="105"/>
        <v>|</v>
      </c>
      <c r="AG781" s="296" t="s">
        <v>2259</v>
      </c>
    </row>
    <row r="782" spans="1:33" ht="20.25" customHeight="1">
      <c r="A782" s="363">
        <f t="shared" si="110"/>
        <v>578</v>
      </c>
      <c r="B782" s="365" t="s">
        <v>2125</v>
      </c>
      <c r="C782" s="364">
        <v>1080</v>
      </c>
      <c r="D782" s="365" t="s">
        <v>1716</v>
      </c>
      <c r="H782" s="296" t="s">
        <v>816</v>
      </c>
      <c r="W782" s="253"/>
      <c r="X782" s="274">
        <f>(X781+C$24)</f>
        <v>10244.219999999999</v>
      </c>
      <c r="AE782" s="370" t="str">
        <f t="shared" si="105"/>
        <v>|</v>
      </c>
      <c r="AG782" s="296" t="s">
        <v>2259</v>
      </c>
    </row>
    <row r="783" spans="1:33" ht="20.25" customHeight="1">
      <c r="A783" s="363">
        <f t="shared" si="110"/>
        <v>579</v>
      </c>
      <c r="B783" s="365" t="s">
        <v>4232</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10480.32</v>
      </c>
      <c r="AE783" s="370" t="str">
        <f t="shared" si="105"/>
        <v>|</v>
      </c>
      <c r="AG783" s="296" t="s">
        <v>2259</v>
      </c>
    </row>
    <row r="784" spans="1:33" ht="20.25"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0.25"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0.25"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0.25"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0.25"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0.25" customHeight="1">
      <c r="A789" s="363"/>
      <c r="B789" s="365" t="s">
        <v>612</v>
      </c>
      <c r="C789" s="364">
        <v>505</v>
      </c>
      <c r="D789" s="364"/>
      <c r="F789" s="252">
        <v>19</v>
      </c>
      <c r="G789" s="252" t="s">
        <v>1432</v>
      </c>
      <c r="H789" s="296" t="s">
        <v>2126</v>
      </c>
      <c r="I789" s="432">
        <v>2</v>
      </c>
      <c r="J789" s="296" t="s">
        <v>1432</v>
      </c>
      <c r="K789" s="252">
        <f t="shared" si="111"/>
        <v>38</v>
      </c>
      <c r="O789" s="296" t="s">
        <v>4082</v>
      </c>
      <c r="R789" s="296" t="s">
        <v>975</v>
      </c>
      <c r="W789" s="253"/>
      <c r="AE789" s="370" t="str">
        <f t="shared" si="105"/>
        <v>|</v>
      </c>
      <c r="AG789" s="296" t="s">
        <v>2259</v>
      </c>
    </row>
    <row r="790" spans="1:33" ht="20.25" customHeight="1">
      <c r="A790" s="363"/>
      <c r="B790" s="365" t="s">
        <v>570</v>
      </c>
      <c r="C790" s="364">
        <v>140</v>
      </c>
      <c r="D790" s="364"/>
      <c r="H790" s="296" t="s">
        <v>75</v>
      </c>
      <c r="O790" s="296" t="s">
        <v>2090</v>
      </c>
      <c r="W790" s="253"/>
      <c r="AE790" s="370" t="str">
        <f t="shared" si="105"/>
        <v>|</v>
      </c>
      <c r="AG790" s="296" t="s">
        <v>2259</v>
      </c>
    </row>
    <row r="791" spans="1:33" ht="20.25" customHeight="1">
      <c r="A791" s="363"/>
      <c r="B791" s="365" t="s">
        <v>838</v>
      </c>
      <c r="C791" s="364">
        <v>222</v>
      </c>
      <c r="D791" s="364"/>
      <c r="K791" s="358" t="s">
        <v>1586</v>
      </c>
      <c r="O791" s="358" t="s">
        <v>1586</v>
      </c>
      <c r="W791" s="253"/>
      <c r="AE791" s="370" t="str">
        <f t="shared" si="105"/>
        <v>|</v>
      </c>
      <c r="AG791" s="296" t="s">
        <v>2259</v>
      </c>
    </row>
    <row r="792" spans="1:33" ht="20.25" customHeight="1">
      <c r="A792" s="363"/>
      <c r="B792" s="365" t="s">
        <v>730</v>
      </c>
      <c r="C792" s="364">
        <v>100</v>
      </c>
      <c r="D792" s="364"/>
      <c r="H792" s="296" t="s">
        <v>441</v>
      </c>
      <c r="K792" s="252">
        <f>SUM(K777:K790)</f>
        <v>9632.2000000000007</v>
      </c>
      <c r="N792" s="296" t="s">
        <v>233</v>
      </c>
      <c r="O792" s="296" t="s">
        <v>4081</v>
      </c>
      <c r="P792" s="252">
        <f>(C272)</f>
        <v>306.89999999999998</v>
      </c>
      <c r="Q792" s="296" t="s">
        <v>233</v>
      </c>
      <c r="R792" s="252">
        <f>M792*P792</f>
        <v>0</v>
      </c>
      <c r="W792" s="253"/>
      <c r="AE792" s="370" t="str">
        <f t="shared" si="105"/>
        <v>|</v>
      </c>
      <c r="AG792" s="296" t="s">
        <v>2259</v>
      </c>
    </row>
    <row r="793" spans="1:33" ht="20.25" customHeight="1">
      <c r="A793" s="363"/>
      <c r="B793" s="365" t="s">
        <v>498</v>
      </c>
      <c r="C793" s="364">
        <v>75</v>
      </c>
      <c r="D793" s="364"/>
      <c r="K793" s="358" t="s">
        <v>1586</v>
      </c>
      <c r="W793" s="253"/>
      <c r="AE793" s="370" t="str">
        <f t="shared" si="105"/>
        <v>|</v>
      </c>
      <c r="AG793" s="296" t="s">
        <v>2259</v>
      </c>
    </row>
    <row r="794" spans="1:33" ht="20.25"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0.25" customHeight="1">
      <c r="A795" s="363"/>
      <c r="B795" s="365" t="s">
        <v>275</v>
      </c>
      <c r="C795" s="364">
        <v>1854</v>
      </c>
      <c r="D795" s="364"/>
      <c r="K795" s="358" t="s">
        <v>2055</v>
      </c>
      <c r="W795" s="253"/>
      <c r="AE795" s="370" t="str">
        <f t="shared" si="105"/>
        <v>|</v>
      </c>
      <c r="AG795" s="296" t="s">
        <v>2259</v>
      </c>
    </row>
    <row r="796" spans="1:33" ht="20.25" customHeight="1">
      <c r="A796" s="363"/>
      <c r="B796" s="365" t="s">
        <v>162</v>
      </c>
      <c r="C796" s="364">
        <v>51</v>
      </c>
      <c r="D796" s="364"/>
      <c r="O796" s="296" t="s">
        <v>1326</v>
      </c>
      <c r="P796" s="407" t="s">
        <v>449</v>
      </c>
      <c r="R796" s="252">
        <v>0.64</v>
      </c>
      <c r="W796" s="253"/>
      <c r="AE796" s="370" t="str">
        <f t="shared" si="105"/>
        <v>|</v>
      </c>
      <c r="AG796" s="296" t="s">
        <v>2259</v>
      </c>
    </row>
    <row r="797" spans="1:33" ht="20.25"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0.25" customHeight="1">
      <c r="A798" s="363"/>
      <c r="B798" s="365" t="s">
        <v>131</v>
      </c>
      <c r="C798" s="364">
        <v>890</v>
      </c>
      <c r="D798" s="364"/>
      <c r="H798" s="296" t="s">
        <v>719</v>
      </c>
      <c r="O798" s="296" t="s">
        <v>1930</v>
      </c>
      <c r="R798" s="252">
        <f>SUM(R792:R796)</f>
        <v>0.64</v>
      </c>
      <c r="W798" s="253"/>
      <c r="AE798" s="370" t="str">
        <f t="shared" si="105"/>
        <v>|</v>
      </c>
      <c r="AG798" s="296" t="s">
        <v>2259</v>
      </c>
    </row>
    <row r="799" spans="1:33" ht="20.25" customHeight="1">
      <c r="A799" s="363"/>
      <c r="B799" s="365" t="s">
        <v>1931</v>
      </c>
      <c r="C799" s="364">
        <v>5.15</v>
      </c>
      <c r="D799" s="364"/>
      <c r="H799" s="296" t="s">
        <v>277</v>
      </c>
      <c r="R799" s="358" t="s">
        <v>1586</v>
      </c>
      <c r="U799" s="274" t="s">
        <v>3468</v>
      </c>
      <c r="W799" s="253"/>
      <c r="AE799" s="370" t="str">
        <f t="shared" si="105"/>
        <v>|</v>
      </c>
      <c r="AG799" s="296" t="s">
        <v>2259</v>
      </c>
    </row>
    <row r="800" spans="1:33" ht="20.25" customHeight="1">
      <c r="A800" s="363"/>
      <c r="B800" s="365" t="s">
        <v>1410</v>
      </c>
      <c r="C800" s="364">
        <v>43.3</v>
      </c>
      <c r="D800" s="364"/>
      <c r="H800" s="358" t="s">
        <v>1586</v>
      </c>
      <c r="O800" s="296" t="s">
        <v>1412</v>
      </c>
      <c r="R800" s="252">
        <f>(R798/0.4)</f>
        <v>1.6</v>
      </c>
      <c r="S800" s="356">
        <v>0.443</v>
      </c>
      <c r="T800" s="252" t="s">
        <v>1341</v>
      </c>
      <c r="U800" s="252" t="s">
        <v>3461</v>
      </c>
      <c r="V800" s="252">
        <f>AC14</f>
        <v>1807.94</v>
      </c>
      <c r="W800" s="253"/>
      <c r="X800" s="252">
        <f>V800*S800</f>
        <v>800.92</v>
      </c>
      <c r="AE800" s="370" t="str">
        <f t="shared" si="105"/>
        <v>|</v>
      </c>
      <c r="AG800" s="296" t="s">
        <v>2259</v>
      </c>
    </row>
    <row r="801" spans="1:33" ht="20.25" customHeight="1">
      <c r="A801" s="363"/>
      <c r="B801" s="365" t="s">
        <v>79</v>
      </c>
      <c r="C801" s="364">
        <v>920</v>
      </c>
      <c r="D801" s="364"/>
      <c r="H801" s="296" t="s">
        <v>1157</v>
      </c>
      <c r="K801" s="252">
        <f>(K732/2)</f>
        <v>475.28</v>
      </c>
      <c r="R801" s="358" t="s">
        <v>2055</v>
      </c>
      <c r="S801" s="356">
        <v>0.29499999999999998</v>
      </c>
      <c r="T801" s="252" t="s">
        <v>1341</v>
      </c>
      <c r="U801" s="252" t="s">
        <v>3462</v>
      </c>
      <c r="V801" s="252">
        <f>AC12</f>
        <v>1334.94</v>
      </c>
      <c r="W801" s="253"/>
      <c r="X801" s="252">
        <f t="shared" ref="X801:X807" si="112">V801*S801</f>
        <v>393.81</v>
      </c>
      <c r="AE801" s="370" t="str">
        <f t="shared" si="105"/>
        <v>|</v>
      </c>
      <c r="AG801" s="296" t="s">
        <v>2259</v>
      </c>
    </row>
    <row r="802" spans="1:33" ht="20.25"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1741.58</v>
      </c>
      <c r="W802" s="253"/>
      <c r="X802" s="252">
        <f t="shared" si="112"/>
        <v>748.88</v>
      </c>
      <c r="AE802" s="370" t="str">
        <f t="shared" si="105"/>
        <v>|</v>
      </c>
      <c r="AG802" s="296" t="s">
        <v>2259</v>
      </c>
    </row>
    <row r="803" spans="1:33" ht="20.25"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0.25"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0.25"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0.25" customHeight="1">
      <c r="A806" s="363"/>
      <c r="B806" s="365" t="s">
        <v>6098</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0.25" customHeight="1">
      <c r="A807" s="363"/>
      <c r="B807" s="365" t="s">
        <v>1762</v>
      </c>
      <c r="C807" s="364">
        <v>2107</v>
      </c>
      <c r="D807" s="364"/>
      <c r="F807" s="356">
        <v>9</v>
      </c>
      <c r="G807" s="252" t="s">
        <v>869</v>
      </c>
      <c r="H807" s="296" t="s">
        <v>1411</v>
      </c>
      <c r="I807" s="252">
        <f>C73</f>
        <v>1807.94</v>
      </c>
      <c r="J807" s="296" t="s">
        <v>869</v>
      </c>
      <c r="K807" s="252">
        <f t="shared" ref="K807:K812" si="113">F807*I807</f>
        <v>16271.46</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0.25" customHeight="1">
      <c r="A808" s="363"/>
      <c r="B808" s="365" t="s">
        <v>5866</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0.25" customHeight="1">
      <c r="A809" s="363"/>
      <c r="B809" s="365" t="s">
        <v>4593</v>
      </c>
      <c r="C809" s="362">
        <v>826</v>
      </c>
      <c r="D809" s="364"/>
      <c r="F809" s="356">
        <v>4.5</v>
      </c>
      <c r="G809" s="252" t="s">
        <v>869</v>
      </c>
      <c r="H809" s="296" t="s">
        <v>870</v>
      </c>
      <c r="I809" s="252">
        <f>C78</f>
        <v>1741.58</v>
      </c>
      <c r="J809" s="296" t="s">
        <v>869</v>
      </c>
      <c r="K809" s="252">
        <f t="shared" si="113"/>
        <v>7837.11</v>
      </c>
      <c r="N809" s="314"/>
      <c r="O809" s="376"/>
      <c r="P809" s="314"/>
      <c r="Q809" s="314"/>
      <c r="R809" s="314"/>
      <c r="S809" s="429" t="s">
        <v>657</v>
      </c>
      <c r="U809" s="252" t="s">
        <v>3467</v>
      </c>
      <c r="V809" s="429" t="s">
        <v>657</v>
      </c>
      <c r="W809" s="253"/>
      <c r="X809" s="252">
        <v>150</v>
      </c>
      <c r="AE809" s="370" t="str">
        <f t="shared" si="105"/>
        <v>|</v>
      </c>
      <c r="AG809" s="296" t="s">
        <v>2259</v>
      </c>
    </row>
    <row r="810" spans="1:33" ht="20.25" customHeight="1">
      <c r="A810" s="363"/>
      <c r="B810" s="365" t="s">
        <v>4594</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0.25"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8404.81</v>
      </c>
      <c r="Y811" s="252">
        <v>59.4</v>
      </c>
      <c r="Z811" s="252">
        <v>117</v>
      </c>
      <c r="AE811" s="370" t="str">
        <f t="shared" si="105"/>
        <v>|</v>
      </c>
      <c r="AG811" s="296" t="s">
        <v>2259</v>
      </c>
    </row>
    <row r="812" spans="1:33" ht="20.25"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0.25"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0.25" customHeight="1">
      <c r="A814" s="363"/>
      <c r="B814" s="365" t="s">
        <v>4595</v>
      </c>
      <c r="C814" s="426">
        <v>8.5</v>
      </c>
      <c r="D814" s="364"/>
      <c r="K814" s="358" t="s">
        <v>1586</v>
      </c>
      <c r="N814" s="376"/>
      <c r="O814" s="376"/>
      <c r="P814" s="314"/>
      <c r="Q814" s="314"/>
      <c r="R814" s="314"/>
      <c r="U814" s="274" t="s">
        <v>3469</v>
      </c>
      <c r="W814" s="253"/>
      <c r="AE814" s="370" t="str">
        <f t="shared" si="114"/>
        <v>|</v>
      </c>
      <c r="AG814" s="296" t="s">
        <v>2259</v>
      </c>
    </row>
    <row r="815" spans="1:33" ht="20.25" customHeight="1">
      <c r="A815" s="363"/>
      <c r="B815" s="365" t="s">
        <v>1066</v>
      </c>
      <c r="C815" s="426">
        <v>21.1</v>
      </c>
      <c r="D815" s="364"/>
      <c r="H815" s="253" t="s">
        <v>614</v>
      </c>
      <c r="K815" s="252">
        <f>SUM(K807:K813)</f>
        <v>86042.29</v>
      </c>
      <c r="N815" s="376"/>
      <c r="O815" s="376"/>
      <c r="P815" s="314"/>
      <c r="Q815" s="314"/>
      <c r="R815" s="314"/>
      <c r="S815" s="356">
        <v>0.45300000000000001</v>
      </c>
      <c r="T815" s="252" t="s">
        <v>1341</v>
      </c>
      <c r="U815" s="252" t="s">
        <v>3461</v>
      </c>
      <c r="V815" s="252">
        <f>V800</f>
        <v>1807.94</v>
      </c>
      <c r="W815" s="253"/>
      <c r="X815" s="252">
        <f>V815*S815</f>
        <v>819</v>
      </c>
      <c r="Z815" s="252">
        <f>X826+Y811</f>
        <v>8388.36</v>
      </c>
      <c r="AE815" s="370" t="str">
        <f t="shared" si="114"/>
        <v>|</v>
      </c>
      <c r="AG815" s="296" t="s">
        <v>2259</v>
      </c>
    </row>
    <row r="816" spans="1:33" ht="20.25" customHeight="1">
      <c r="A816" s="363"/>
      <c r="B816" s="364"/>
      <c r="C816" s="364" t="s">
        <v>4258</v>
      </c>
      <c r="D816" s="364"/>
      <c r="K816" s="358" t="s">
        <v>2055</v>
      </c>
      <c r="N816" s="376"/>
      <c r="O816" s="376"/>
      <c r="P816" s="314"/>
      <c r="Q816" s="314"/>
      <c r="R816" s="314"/>
      <c r="S816" s="356">
        <v>0.30199999999999999</v>
      </c>
      <c r="T816" s="252" t="s">
        <v>1341</v>
      </c>
      <c r="U816" s="252" t="s">
        <v>3462</v>
      </c>
      <c r="V816" s="252">
        <f t="shared" ref="V816:V825" si="115">V801</f>
        <v>1334.94</v>
      </c>
      <c r="W816" s="253"/>
      <c r="X816" s="252">
        <f t="shared" ref="X816:X822" si="116">V816*S816</f>
        <v>403.15</v>
      </c>
      <c r="Z816" s="252">
        <f>Z815+Z811</f>
        <v>8505.36</v>
      </c>
      <c r="AE816" s="370" t="str">
        <f t="shared" si="114"/>
        <v>|</v>
      </c>
      <c r="AG816" s="296" t="s">
        <v>2259</v>
      </c>
    </row>
    <row r="817" spans="1:33" ht="20.25" customHeight="1">
      <c r="A817" s="437"/>
      <c r="H817" s="296" t="s">
        <v>773</v>
      </c>
      <c r="K817" s="252">
        <f>K815/10</f>
        <v>8604.23</v>
      </c>
      <c r="N817" s="376"/>
      <c r="O817" s="376"/>
      <c r="P817" s="314"/>
      <c r="Q817" s="314"/>
      <c r="R817" s="314"/>
      <c r="S817" s="356">
        <v>0.44</v>
      </c>
      <c r="T817" s="252" t="s">
        <v>1341</v>
      </c>
      <c r="U817" s="252" t="s">
        <v>1065</v>
      </c>
      <c r="V817" s="252">
        <f t="shared" si="115"/>
        <v>1741.58</v>
      </c>
      <c r="W817" s="253"/>
      <c r="X817" s="252">
        <f t="shared" si="116"/>
        <v>766.3</v>
      </c>
      <c r="Z817" s="252">
        <f>Z816+Z811</f>
        <v>8622.36</v>
      </c>
      <c r="AE817" s="370" t="str">
        <f t="shared" si="114"/>
        <v>|</v>
      </c>
      <c r="AG817" s="296" t="s">
        <v>2259</v>
      </c>
    </row>
    <row r="818" spans="1:33" ht="20.25" customHeight="1">
      <c r="A818" s="437"/>
      <c r="S818" s="356">
        <v>0.37</v>
      </c>
      <c r="T818" s="252" t="s">
        <v>528</v>
      </c>
      <c r="U818" s="252" t="s">
        <v>390</v>
      </c>
      <c r="V818" s="252">
        <f t="shared" si="115"/>
        <v>6040</v>
      </c>
      <c r="W818" s="253"/>
      <c r="X818" s="252">
        <f t="shared" si="116"/>
        <v>2234.8000000000002</v>
      </c>
      <c r="Z818" s="252">
        <f>Z817+Z811</f>
        <v>8739.36</v>
      </c>
      <c r="AE818" s="370" t="str">
        <f t="shared" si="114"/>
        <v>|</v>
      </c>
      <c r="AG818" s="296" t="s">
        <v>2259</v>
      </c>
    </row>
    <row r="819" spans="1:33" ht="20.25"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8856.36</v>
      </c>
      <c r="AE819" s="370" t="str">
        <f t="shared" si="114"/>
        <v>|</v>
      </c>
      <c r="AG819" s="296" t="s">
        <v>2259</v>
      </c>
    </row>
    <row r="820" spans="1:33" ht="20.25" customHeight="1">
      <c r="A820" s="437"/>
      <c r="K820" s="358" t="s">
        <v>1586</v>
      </c>
      <c r="O820" s="253"/>
      <c r="S820" s="356">
        <v>2.12</v>
      </c>
      <c r="T820" s="252" t="s">
        <v>1432</v>
      </c>
      <c r="U820" s="252" t="s">
        <v>3463</v>
      </c>
      <c r="V820" s="252">
        <f t="shared" si="115"/>
        <v>651</v>
      </c>
      <c r="W820" s="253"/>
      <c r="X820" s="252">
        <f t="shared" si="116"/>
        <v>1380.12</v>
      </c>
      <c r="Z820" s="252">
        <f>Z811+Z819</f>
        <v>8973.36</v>
      </c>
      <c r="AE820" s="370" t="str">
        <f t="shared" si="114"/>
        <v>|</v>
      </c>
      <c r="AG820" s="296" t="s">
        <v>2259</v>
      </c>
    </row>
    <row r="821" spans="1:33" ht="20.25" customHeight="1">
      <c r="K821" s="252">
        <f>SUM(K817:K819)</f>
        <v>8698.43</v>
      </c>
      <c r="S821" s="356">
        <v>3.53</v>
      </c>
      <c r="T821" s="252" t="s">
        <v>1432</v>
      </c>
      <c r="U821" s="252" t="s">
        <v>3464</v>
      </c>
      <c r="V821" s="252">
        <f t="shared" si="115"/>
        <v>534</v>
      </c>
      <c r="W821" s="253"/>
      <c r="X821" s="252">
        <f t="shared" si="116"/>
        <v>1885.02</v>
      </c>
      <c r="Z821" s="252">
        <f>Z811+Z820</f>
        <v>9090.36</v>
      </c>
      <c r="AE821" s="370" t="str">
        <f t="shared" si="114"/>
        <v>|</v>
      </c>
      <c r="AG821" s="296" t="s">
        <v>2259</v>
      </c>
    </row>
    <row r="822" spans="1:33" ht="20.25" customHeight="1">
      <c r="A822" s="437"/>
      <c r="K822" s="358" t="s">
        <v>1586</v>
      </c>
      <c r="R822" s="358"/>
      <c r="S822" s="356">
        <v>1</v>
      </c>
      <c r="T822" s="252" t="s">
        <v>1341</v>
      </c>
      <c r="U822" s="252" t="s">
        <v>3465</v>
      </c>
      <c r="V822" s="252">
        <f t="shared" si="115"/>
        <v>94.2</v>
      </c>
      <c r="W822" s="253"/>
      <c r="X822" s="252">
        <f t="shared" si="116"/>
        <v>94.2</v>
      </c>
      <c r="Z822" s="252">
        <f>Z811+Z821</f>
        <v>9207.36</v>
      </c>
      <c r="AE822" s="370" t="str">
        <f t="shared" si="114"/>
        <v>|</v>
      </c>
      <c r="AG822" s="296" t="s">
        <v>2259</v>
      </c>
    </row>
    <row r="823" spans="1:33" ht="20.25" customHeight="1">
      <c r="A823" s="437"/>
      <c r="H823" s="296" t="s">
        <v>386</v>
      </c>
      <c r="K823" s="274">
        <f>(K821+C22)</f>
        <v>8818.2800000000007</v>
      </c>
      <c r="S823" s="429" t="s">
        <v>657</v>
      </c>
      <c r="U823" s="252" t="s">
        <v>3466</v>
      </c>
      <c r="V823" s="407" t="str">
        <f t="shared" si="115"/>
        <v>LS</v>
      </c>
      <c r="W823" s="253"/>
      <c r="X823" s="252">
        <v>270</v>
      </c>
      <c r="Z823" s="252">
        <f>Z811+Z822</f>
        <v>9324.36</v>
      </c>
      <c r="AE823" s="370" t="str">
        <f t="shared" si="114"/>
        <v>|</v>
      </c>
      <c r="AG823" s="296" t="s">
        <v>2259</v>
      </c>
    </row>
    <row r="824" spans="1:33" ht="20.25" customHeight="1">
      <c r="A824" s="437"/>
      <c r="H824" s="296" t="s">
        <v>388</v>
      </c>
      <c r="K824" s="274">
        <f>(K823+C23)</f>
        <v>9054.3799999999992</v>
      </c>
      <c r="N824" s="296"/>
      <c r="O824" s="296"/>
      <c r="S824" s="429" t="s">
        <v>657</v>
      </c>
      <c r="U824" s="252" t="s">
        <v>3467</v>
      </c>
      <c r="V824" s="407" t="str">
        <f t="shared" si="115"/>
        <v>LS</v>
      </c>
      <c r="W824" s="253"/>
      <c r="X824" s="252">
        <v>150</v>
      </c>
      <c r="Z824" s="252">
        <f>Z811+Z823</f>
        <v>9441.36</v>
      </c>
      <c r="AE824" s="370" t="str">
        <f t="shared" si="114"/>
        <v>|</v>
      </c>
      <c r="AG824" s="296" t="s">
        <v>2259</v>
      </c>
    </row>
    <row r="825" spans="1:33" ht="20.25" customHeight="1">
      <c r="A825" s="437"/>
      <c r="H825" s="296" t="s">
        <v>2232</v>
      </c>
      <c r="K825" s="274">
        <f>(K824+C24)</f>
        <v>9290.48</v>
      </c>
      <c r="O825" s="296"/>
      <c r="S825" s="429" t="s">
        <v>657</v>
      </c>
      <c r="U825" s="252" t="s">
        <v>2271</v>
      </c>
      <c r="V825" s="407" t="str">
        <f t="shared" si="115"/>
        <v>LS</v>
      </c>
      <c r="W825" s="253"/>
      <c r="X825" s="252">
        <v>0.17</v>
      </c>
      <c r="AE825" s="370" t="str">
        <f t="shared" si="114"/>
        <v>|</v>
      </c>
      <c r="AG825" s="296" t="s">
        <v>2259</v>
      </c>
    </row>
    <row r="826" spans="1:33" ht="20.25" customHeight="1">
      <c r="A826" s="437"/>
      <c r="H826" s="296" t="s">
        <v>380</v>
      </c>
      <c r="K826" s="274">
        <f>(K825+C24)</f>
        <v>9526.58</v>
      </c>
      <c r="N826" s="296"/>
      <c r="O826" s="296"/>
      <c r="W826" s="253"/>
      <c r="X826" s="274">
        <f>SUM(X815:X825)</f>
        <v>8328.9599999999991</v>
      </c>
      <c r="AE826" s="370" t="str">
        <f t="shared" si="114"/>
        <v>|</v>
      </c>
      <c r="AG826" s="296" t="s">
        <v>2259</v>
      </c>
    </row>
    <row r="827" spans="1:33" ht="20.25" customHeight="1">
      <c r="H827" s="296" t="s">
        <v>1532</v>
      </c>
      <c r="K827" s="274">
        <f>(K826+C24)</f>
        <v>9762.68</v>
      </c>
      <c r="O827" s="296"/>
      <c r="W827" s="253"/>
      <c r="AE827" s="370" t="str">
        <f t="shared" si="114"/>
        <v>|</v>
      </c>
      <c r="AG827" s="296" t="s">
        <v>2259</v>
      </c>
    </row>
    <row r="828" spans="1:33" ht="20.25" customHeight="1">
      <c r="H828" s="296">
        <v>5</v>
      </c>
      <c r="K828" s="274">
        <f>(K827+C24)</f>
        <v>9998.7800000000007</v>
      </c>
      <c r="O828" s="296"/>
      <c r="W828" s="253"/>
      <c r="AE828" s="370">
        <f>SUM(AE681:AE685)</f>
        <v>8206.1</v>
      </c>
      <c r="AG828" s="296"/>
    </row>
    <row r="829" spans="1:33" ht="20.25" customHeight="1">
      <c r="H829" s="296">
        <v>6</v>
      </c>
      <c r="K829" s="274">
        <f>(K828+C24)</f>
        <v>10234.879999999999</v>
      </c>
      <c r="O829" s="296"/>
      <c r="W829" s="253"/>
      <c r="AE829" s="370"/>
      <c r="AG829" s="296"/>
    </row>
    <row r="830" spans="1:33" ht="20.25" customHeight="1">
      <c r="H830" s="296">
        <v>7</v>
      </c>
      <c r="K830" s="274">
        <f>(K829+C24)</f>
        <v>10470.98</v>
      </c>
      <c r="O830" s="296"/>
      <c r="W830" s="253"/>
      <c r="AE830" s="370"/>
      <c r="AG830" s="296"/>
    </row>
    <row r="831" spans="1:33" ht="20.25" customHeight="1">
      <c r="H831" s="296">
        <v>8</v>
      </c>
      <c r="K831" s="274">
        <f>(K830+C24)</f>
        <v>10707.08</v>
      </c>
      <c r="O831" s="296"/>
      <c r="W831" s="253"/>
      <c r="AE831" s="370"/>
      <c r="AG831" s="296"/>
    </row>
    <row r="832" spans="1:33" ht="20.25" customHeight="1">
      <c r="H832" s="296">
        <v>9</v>
      </c>
      <c r="K832" s="274">
        <f>(K831+C24)</f>
        <v>10943.18</v>
      </c>
      <c r="O832" s="296"/>
      <c r="W832" s="253"/>
      <c r="AE832" s="370"/>
      <c r="AG832" s="296"/>
    </row>
    <row r="833" spans="6:33" ht="20.25" customHeight="1">
      <c r="H833" s="296">
        <v>10</v>
      </c>
      <c r="K833" s="274">
        <f>(K832+C24)</f>
        <v>11179.28</v>
      </c>
      <c r="O833" s="296"/>
      <c r="W833" s="253"/>
      <c r="AE833" s="370"/>
      <c r="AG833" s="296"/>
    </row>
    <row r="834" spans="6:33" ht="20.25" customHeight="1">
      <c r="H834" s="296">
        <v>11</v>
      </c>
      <c r="K834" s="274">
        <f>(K833+C24)</f>
        <v>11415.38</v>
      </c>
      <c r="O834" s="296"/>
      <c r="W834" s="253"/>
      <c r="AE834" s="370"/>
      <c r="AG834" s="296"/>
    </row>
    <row r="835" spans="6:33" ht="20.25" customHeight="1">
      <c r="H835" s="296">
        <v>12</v>
      </c>
      <c r="K835" s="274">
        <f>(K834+C24)</f>
        <v>11651.48</v>
      </c>
      <c r="O835" s="296"/>
      <c r="W835" s="253"/>
      <c r="AE835" s="370"/>
      <c r="AG835" s="296"/>
    </row>
    <row r="836" spans="6:33" ht="20.25" customHeight="1">
      <c r="H836" s="296"/>
      <c r="K836" s="274"/>
      <c r="O836" s="296"/>
      <c r="W836" s="253"/>
      <c r="AE836" s="370"/>
      <c r="AG836" s="296"/>
    </row>
    <row r="837" spans="6:33" ht="20.25" customHeight="1">
      <c r="F837" s="296" t="s">
        <v>975</v>
      </c>
      <c r="O837" s="296"/>
      <c r="W837" s="253"/>
      <c r="AE837" s="370" t="str">
        <f t="shared" si="114"/>
        <v>|</v>
      </c>
      <c r="AG837" s="296" t="s">
        <v>2259</v>
      </c>
    </row>
    <row r="838" spans="6:33" ht="20.25" customHeight="1">
      <c r="F838" s="296" t="s">
        <v>975</v>
      </c>
      <c r="G838" s="252" t="s">
        <v>2251</v>
      </c>
      <c r="H838" s="253" t="s">
        <v>1321</v>
      </c>
      <c r="N838" s="296"/>
      <c r="O838" s="296"/>
      <c r="W838" s="253"/>
      <c r="AE838" s="370" t="str">
        <f t="shared" si="114"/>
        <v>|</v>
      </c>
      <c r="AG838" s="296" t="s">
        <v>2259</v>
      </c>
    </row>
    <row r="839" spans="6:33" ht="20.25" customHeight="1">
      <c r="H839" s="358" t="s">
        <v>2055</v>
      </c>
      <c r="N839" s="296"/>
      <c r="O839" s="296"/>
      <c r="W839" s="253"/>
      <c r="AE839" s="370" t="str">
        <f t="shared" si="114"/>
        <v>|</v>
      </c>
      <c r="AG839" s="296" t="s">
        <v>2259</v>
      </c>
    </row>
    <row r="840" spans="6:33" ht="20.25" customHeight="1">
      <c r="N840" s="296"/>
      <c r="O840" s="296"/>
      <c r="W840" s="253"/>
      <c r="AE840" s="370" t="str">
        <f t="shared" si="114"/>
        <v>|</v>
      </c>
      <c r="AG840" s="296" t="s">
        <v>2259</v>
      </c>
    </row>
    <row r="841" spans="6:33" ht="20.25" customHeight="1">
      <c r="F841" s="253" t="s">
        <v>1323</v>
      </c>
      <c r="G841" s="252" t="s">
        <v>2251</v>
      </c>
      <c r="H841" s="296" t="s">
        <v>2031</v>
      </c>
      <c r="N841" s="296"/>
      <c r="O841" s="296"/>
      <c r="W841" s="253"/>
      <c r="AE841" s="370" t="str">
        <f t="shared" si="114"/>
        <v>|</v>
      </c>
      <c r="AG841" s="296" t="s">
        <v>2259</v>
      </c>
    </row>
    <row r="842" spans="6:33" ht="20.25" customHeight="1">
      <c r="H842" s="296" t="s">
        <v>2032</v>
      </c>
      <c r="N842" s="296"/>
      <c r="O842" s="296"/>
      <c r="W842" s="253"/>
      <c r="AE842" s="370" t="str">
        <f t="shared" si="114"/>
        <v>|</v>
      </c>
      <c r="AG842" s="296" t="s">
        <v>2259</v>
      </c>
    </row>
    <row r="843" spans="6:33" ht="20.25" customHeight="1">
      <c r="H843" s="296" t="s">
        <v>2033</v>
      </c>
      <c r="N843" s="296"/>
      <c r="O843" s="296"/>
      <c r="W843" s="253"/>
      <c r="AE843" s="370" t="str">
        <f t="shared" si="114"/>
        <v>|::</v>
      </c>
      <c r="AG843" s="296" t="s">
        <v>321</v>
      </c>
    </row>
    <row r="844" spans="6:33" ht="20.25" customHeight="1">
      <c r="H844" s="296" t="s">
        <v>891</v>
      </c>
      <c r="N844" s="296"/>
      <c r="O844" s="296"/>
      <c r="W844" s="253"/>
      <c r="AE844" s="370">
        <f t="shared" si="114"/>
        <v>0</v>
      </c>
    </row>
    <row r="845" spans="6:33" ht="20.25" customHeight="1">
      <c r="H845" s="296" t="s">
        <v>892</v>
      </c>
      <c r="W845" s="253"/>
      <c r="AE845" s="370">
        <f t="shared" si="114"/>
        <v>0</v>
      </c>
    </row>
    <row r="846" spans="6:33" ht="20.25" customHeight="1">
      <c r="H846" s="296" t="s">
        <v>1721</v>
      </c>
      <c r="R846" s="358"/>
      <c r="W846" s="253"/>
      <c r="AE846" s="370">
        <f t="shared" si="114"/>
        <v>0</v>
      </c>
    </row>
    <row r="847" spans="6:33" ht="20.25" customHeight="1">
      <c r="H847" s="296" t="s">
        <v>93</v>
      </c>
      <c r="O847" s="253"/>
      <c r="W847" s="253"/>
      <c r="AE847" s="370" t="str">
        <f t="shared" si="114"/>
        <v>|</v>
      </c>
      <c r="AG847" s="296" t="s">
        <v>2259</v>
      </c>
    </row>
    <row r="848" spans="6:33" ht="20.25" customHeight="1">
      <c r="H848" s="296" t="s">
        <v>94</v>
      </c>
      <c r="R848" s="358"/>
      <c r="W848" s="253"/>
      <c r="AE848" s="370" t="str">
        <f t="shared" si="114"/>
        <v>|</v>
      </c>
      <c r="AG848" s="296" t="s">
        <v>2259</v>
      </c>
    </row>
    <row r="849" spans="6:33" ht="20.25" customHeight="1">
      <c r="H849" s="296" t="s">
        <v>95</v>
      </c>
      <c r="O849" s="274" t="s">
        <v>4386</v>
      </c>
      <c r="R849" s="358"/>
      <c r="W849" s="253"/>
      <c r="AE849" s="370" t="str">
        <f t="shared" si="114"/>
        <v>|</v>
      </c>
      <c r="AG849" s="296" t="s">
        <v>2259</v>
      </c>
    </row>
    <row r="850" spans="6:33" ht="20.25" customHeight="1">
      <c r="H850" s="296" t="s">
        <v>96</v>
      </c>
      <c r="O850" s="253" t="s">
        <v>1743</v>
      </c>
      <c r="R850" s="358"/>
      <c r="W850" s="253"/>
      <c r="AE850" s="370" t="str">
        <f t="shared" si="114"/>
        <v>|</v>
      </c>
      <c r="AG850" s="296" t="s">
        <v>2259</v>
      </c>
    </row>
    <row r="851" spans="6:33" ht="20.25" customHeight="1">
      <c r="H851" s="296" t="s">
        <v>2053</v>
      </c>
      <c r="R851" s="358"/>
      <c r="W851" s="253"/>
      <c r="AE851" s="370" t="str">
        <f t="shared" si="114"/>
        <v>|</v>
      </c>
      <c r="AG851" s="296" t="s">
        <v>2259</v>
      </c>
    </row>
    <row r="852" spans="6:33" ht="20.25" customHeight="1">
      <c r="H852" s="296" t="s">
        <v>1028</v>
      </c>
      <c r="M852" s="400">
        <v>6.5000000000000002E-2</v>
      </c>
      <c r="N852" s="252" t="s">
        <v>869</v>
      </c>
      <c r="O852" s="296" t="s">
        <v>2073</v>
      </c>
      <c r="P852" s="252">
        <f>I859</f>
        <v>7917.08</v>
      </c>
      <c r="Q852" s="296" t="s">
        <v>869</v>
      </c>
      <c r="R852" s="252">
        <f>P852*M852</f>
        <v>514.61</v>
      </c>
      <c r="W852" s="253"/>
      <c r="AE852" s="370" t="str">
        <f t="shared" si="114"/>
        <v>|</v>
      </c>
      <c r="AG852" s="296" t="s">
        <v>2259</v>
      </c>
    </row>
    <row r="853" spans="6:33" ht="20.25"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0.25"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0.25"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0.25"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0.25"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0.25"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0.25" customHeight="1">
      <c r="F859" s="400">
        <v>3.8100000000000002E-2</v>
      </c>
      <c r="G859" s="252" t="s">
        <v>869</v>
      </c>
      <c r="H859" s="296" t="s">
        <v>6023</v>
      </c>
      <c r="I859" s="252">
        <f>I877</f>
        <v>7917.08</v>
      </c>
      <c r="J859" s="296" t="s">
        <v>869</v>
      </c>
      <c r="K859" s="252">
        <f>F859*I859</f>
        <v>301.64</v>
      </c>
      <c r="M859" s="252">
        <v>1</v>
      </c>
      <c r="N859" s="252" t="s">
        <v>868</v>
      </c>
      <c r="O859" s="296" t="s">
        <v>1194</v>
      </c>
      <c r="P859" s="252">
        <f t="shared" si="117"/>
        <v>651</v>
      </c>
      <c r="Q859" s="296" t="s">
        <v>868</v>
      </c>
      <c r="R859" s="252">
        <f t="shared" si="118"/>
        <v>651</v>
      </c>
      <c r="S859" s="400">
        <v>4.9500000000000002E-2</v>
      </c>
      <c r="T859" s="252" t="s">
        <v>869</v>
      </c>
      <c r="U859" s="296" t="s">
        <v>2073</v>
      </c>
      <c r="V859" s="252">
        <f>I859</f>
        <v>7917.08</v>
      </c>
      <c r="W859" s="253" t="s">
        <v>869</v>
      </c>
      <c r="X859" s="252">
        <f>S859*V859</f>
        <v>391.9</v>
      </c>
      <c r="AE859" s="370" t="str">
        <f t="shared" si="114"/>
        <v>|</v>
      </c>
      <c r="AG859" s="296" t="s">
        <v>2259</v>
      </c>
    </row>
    <row r="860" spans="6:33" ht="20.25"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0.25"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0.25"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0.25"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0.25" customHeight="1">
      <c r="F864" s="252">
        <v>6</v>
      </c>
      <c r="G864" s="252" t="s">
        <v>868</v>
      </c>
      <c r="H864" s="439" t="s">
        <v>2220</v>
      </c>
      <c r="I864" s="399">
        <v>4.45</v>
      </c>
      <c r="J864" s="296" t="s">
        <v>868</v>
      </c>
      <c r="K864" s="252">
        <f t="shared" si="120"/>
        <v>26.7</v>
      </c>
      <c r="O864" s="255" t="s">
        <v>283</v>
      </c>
      <c r="Q864" s="296"/>
      <c r="R864" s="274">
        <f>SUM(R852:R862)</f>
        <v>3314.59</v>
      </c>
      <c r="S864" s="252">
        <v>6</v>
      </c>
      <c r="T864" s="252" t="s">
        <v>868</v>
      </c>
      <c r="U864" s="296" t="s">
        <v>2220</v>
      </c>
      <c r="V864" s="252">
        <f t="shared" si="119"/>
        <v>4.45</v>
      </c>
      <c r="W864" s="253" t="s">
        <v>868</v>
      </c>
      <c r="X864" s="252">
        <f t="shared" si="121"/>
        <v>26.7</v>
      </c>
      <c r="AE864" s="370" t="str">
        <f t="shared" si="114"/>
        <v>|</v>
      </c>
      <c r="AG864" s="296" t="s">
        <v>2259</v>
      </c>
    </row>
    <row r="865" spans="2:33" ht="20.25"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0.25"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0.25"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0.25"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0.25"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0.25" customHeight="1">
      <c r="K870" s="358" t="s">
        <v>1586</v>
      </c>
      <c r="O870" s="296"/>
      <c r="S870" s="252"/>
      <c r="W870" s="253"/>
      <c r="X870" s="358" t="s">
        <v>1586</v>
      </c>
      <c r="AE870" s="370">
        <f t="shared" si="114"/>
        <v>0</v>
      </c>
      <c r="AG870" s="296"/>
    </row>
    <row r="871" spans="2:33" ht="20.25" customHeight="1">
      <c r="H871" s="255" t="s">
        <v>283</v>
      </c>
      <c r="K871" s="274">
        <f>SUM(K859:K869)</f>
        <v>2794.93</v>
      </c>
      <c r="N871" s="296"/>
      <c r="O871" s="296"/>
      <c r="S871" s="252"/>
      <c r="U871" s="255" t="s">
        <v>283</v>
      </c>
      <c r="W871" s="253"/>
      <c r="X871" s="274">
        <f>SUM(X859:X869)</f>
        <v>2941.88</v>
      </c>
      <c r="AE871" s="370">
        <f t="shared" si="114"/>
        <v>0</v>
      </c>
      <c r="AG871" s="296"/>
    </row>
    <row r="872" spans="2:33" ht="20.25" customHeight="1">
      <c r="K872" s="358" t="s">
        <v>1586</v>
      </c>
      <c r="O872" s="296"/>
      <c r="W872" s="253"/>
      <c r="AE872" s="370">
        <f t="shared" si="114"/>
        <v>0</v>
      </c>
      <c r="AG872" s="296"/>
    </row>
    <row r="873" spans="2:33" ht="20.25" customHeight="1">
      <c r="O873" s="296"/>
      <c r="W873" s="253"/>
      <c r="AE873" s="370">
        <f t="shared" si="114"/>
        <v>0</v>
      </c>
      <c r="AG873" s="296"/>
    </row>
    <row r="874" spans="2:33" ht="20.25" customHeight="1">
      <c r="N874" s="296"/>
      <c r="O874" s="296"/>
      <c r="W874" s="253"/>
      <c r="AE874" s="370">
        <f t="shared" si="114"/>
        <v>0</v>
      </c>
      <c r="AG874" s="296"/>
    </row>
    <row r="875" spans="2:33" ht="20.25" customHeight="1">
      <c r="G875" s="252" t="s">
        <v>1907</v>
      </c>
      <c r="H875" s="253" t="s">
        <v>1780</v>
      </c>
      <c r="N875" s="296"/>
      <c r="O875" s="296"/>
      <c r="S875" s="252"/>
      <c r="T875" s="252" t="s">
        <v>316</v>
      </c>
      <c r="U875" s="253" t="s">
        <v>3758</v>
      </c>
      <c r="W875" s="253"/>
      <c r="AE875" s="370">
        <f t="shared" si="114"/>
        <v>0</v>
      </c>
      <c r="AG875" s="296"/>
    </row>
    <row r="876" spans="2:33" ht="20.25" customHeight="1">
      <c r="H876" s="253" t="s">
        <v>1781</v>
      </c>
      <c r="N876" s="296"/>
      <c r="O876" s="296"/>
      <c r="S876" s="252"/>
      <c r="U876" s="253" t="s">
        <v>1781</v>
      </c>
      <c r="W876" s="253"/>
      <c r="AE876" s="370">
        <f t="shared" si="114"/>
        <v>0</v>
      </c>
      <c r="AG876" s="296"/>
    </row>
    <row r="877" spans="2:33" ht="20.25" customHeight="1">
      <c r="B877" s="389" t="s">
        <v>6099</v>
      </c>
      <c r="C877" s="252">
        <f>Y688</f>
        <v>8461.35</v>
      </c>
      <c r="F877" s="400">
        <v>3.6799999999999999E-2</v>
      </c>
      <c r="G877" s="252" t="s">
        <v>869</v>
      </c>
      <c r="H877" s="389" t="s">
        <v>6099</v>
      </c>
      <c r="I877" s="252">
        <f>Z718</f>
        <v>7917.08</v>
      </c>
      <c r="J877" s="296" t="s">
        <v>869</v>
      </c>
      <c r="K877" s="252">
        <f>F877*I877</f>
        <v>291.35000000000002</v>
      </c>
      <c r="N877" s="296"/>
      <c r="O877" s="296"/>
      <c r="S877" s="400">
        <v>5.4699999999999999E-2</v>
      </c>
      <c r="T877" s="252" t="s">
        <v>869</v>
      </c>
      <c r="U877" s="296" t="s">
        <v>2073</v>
      </c>
      <c r="V877" s="252">
        <f>I877</f>
        <v>7917.08</v>
      </c>
      <c r="W877" s="253" t="s">
        <v>869</v>
      </c>
      <c r="X877" s="252">
        <f>S877*V877</f>
        <v>433.06</v>
      </c>
      <c r="AE877" s="370">
        <f t="shared" ref="AE877:AE949" si="122">AG877</f>
        <v>0</v>
      </c>
      <c r="AG877" s="296"/>
    </row>
    <row r="878" spans="2:33" ht="20.2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0.25"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0.25"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0.25"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0.25"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0.25"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0.25"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0.25"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0.25"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0.25"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0.25" customHeight="1">
      <c r="K888" s="358" t="s">
        <v>1586</v>
      </c>
      <c r="O888" s="358" t="s">
        <v>1586</v>
      </c>
      <c r="P888" s="358" t="s">
        <v>1586</v>
      </c>
      <c r="S888" s="252"/>
      <c r="W888" s="253"/>
      <c r="X888" s="358" t="s">
        <v>1586</v>
      </c>
      <c r="AE888" s="370" t="str">
        <f t="shared" si="122"/>
        <v>|</v>
      </c>
      <c r="AG888" s="296" t="s">
        <v>2259</v>
      </c>
    </row>
    <row r="889" spans="6:33" ht="20.25" customHeight="1">
      <c r="H889" s="255" t="s">
        <v>283</v>
      </c>
      <c r="K889" s="274">
        <f>SUM(K877:K887)</f>
        <v>2773.04</v>
      </c>
      <c r="L889" s="252">
        <f>K889-1729</f>
        <v>1044.04</v>
      </c>
      <c r="O889" s="296" t="s">
        <v>581</v>
      </c>
      <c r="S889" s="252"/>
      <c r="U889" s="255" t="s">
        <v>283</v>
      </c>
      <c r="W889" s="253"/>
      <c r="X889" s="274">
        <f>SUM(X877:X887)</f>
        <v>3027.69</v>
      </c>
      <c r="AE889" s="370" t="str">
        <f t="shared" si="122"/>
        <v>|</v>
      </c>
      <c r="AG889" s="296" t="s">
        <v>2259</v>
      </c>
    </row>
    <row r="890" spans="6:33" ht="20.25"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0.25" customHeight="1">
      <c r="F891" s="253"/>
      <c r="G891" s="252" t="s">
        <v>520</v>
      </c>
      <c r="H891" s="253" t="s">
        <v>563</v>
      </c>
      <c r="K891" s="252">
        <f>K889-1800.2</f>
        <v>972.84</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0.25" customHeight="1">
      <c r="H892" s="253" t="s">
        <v>1781</v>
      </c>
      <c r="R892" s="358" t="s">
        <v>1586</v>
      </c>
      <c r="S892" s="252"/>
      <c r="U892" s="253" t="s">
        <v>1781</v>
      </c>
      <c r="W892" s="253"/>
      <c r="AE892" s="370" t="str">
        <f t="shared" si="122"/>
        <v>|</v>
      </c>
      <c r="AG892" s="296" t="s">
        <v>2259</v>
      </c>
    </row>
    <row r="893" spans="6:33" ht="20.25" customHeight="1">
      <c r="F893" s="400">
        <v>3.5299999999999998E-2</v>
      </c>
      <c r="G893" s="252" t="s">
        <v>869</v>
      </c>
      <c r="H893" s="296" t="s">
        <v>2073</v>
      </c>
      <c r="I893" s="252">
        <f t="shared" ref="I893:I898" si="126">I877</f>
        <v>7917.08</v>
      </c>
      <c r="J893" s="296" t="s">
        <v>869</v>
      </c>
      <c r="K893" s="252">
        <f>F893*I893</f>
        <v>279.47000000000003</v>
      </c>
      <c r="O893" s="253" t="s">
        <v>1162</v>
      </c>
      <c r="R893" s="252">
        <f>SUM(R890:R891)</f>
        <v>650.75</v>
      </c>
      <c r="S893" s="400">
        <v>5.91E-2</v>
      </c>
      <c r="T893" s="252" t="s">
        <v>869</v>
      </c>
      <c r="U893" s="296" t="s">
        <v>2073</v>
      </c>
      <c r="V893" s="252">
        <f>V877</f>
        <v>7917.08</v>
      </c>
      <c r="W893" s="253" t="s">
        <v>869</v>
      </c>
      <c r="X893" s="252">
        <f>S893*V893</f>
        <v>467.9</v>
      </c>
      <c r="AE893" s="370" t="str">
        <f t="shared" si="122"/>
        <v>|</v>
      </c>
      <c r="AG893" s="296" t="s">
        <v>2259</v>
      </c>
    </row>
    <row r="894" spans="6:33" ht="20.25"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0.25"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0.25"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0.25"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0.25"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0.25"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0.25"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20.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20.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20.2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0.25" customHeight="1">
      <c r="K904" s="358" t="s">
        <v>1586</v>
      </c>
      <c r="N904" s="296"/>
      <c r="O904" s="296"/>
      <c r="S904" s="252"/>
      <c r="W904" s="253"/>
      <c r="X904" s="358" t="s">
        <v>1586</v>
      </c>
      <c r="AE904" s="370">
        <f t="shared" si="122"/>
        <v>0</v>
      </c>
    </row>
    <row r="905" spans="6:33" ht="20.25" customHeight="1">
      <c r="H905" s="255" t="s">
        <v>283</v>
      </c>
      <c r="K905" s="274">
        <f>SUM(K893:K903)</f>
        <v>2735.69</v>
      </c>
      <c r="S905" s="252"/>
      <c r="U905" s="255" t="s">
        <v>283</v>
      </c>
      <c r="W905" s="253"/>
      <c r="X905" s="274">
        <f>SUM(X893:X903)</f>
        <v>3099.8</v>
      </c>
      <c r="AE905" s="370">
        <f t="shared" si="122"/>
        <v>0</v>
      </c>
    </row>
    <row r="906" spans="6:33" ht="20.25" customHeight="1">
      <c r="K906" s="358" t="s">
        <v>1586</v>
      </c>
      <c r="W906" s="253"/>
      <c r="AE906" s="370">
        <f t="shared" si="122"/>
        <v>0</v>
      </c>
    </row>
    <row r="907" spans="6:33" ht="20.25" customHeight="1">
      <c r="R907" s="358"/>
      <c r="W907" s="253"/>
      <c r="AE907" s="370">
        <f t="shared" si="122"/>
        <v>0</v>
      </c>
    </row>
    <row r="908" spans="6:33" ht="20.25" customHeight="1">
      <c r="F908" s="441">
        <v>21.3</v>
      </c>
      <c r="G908" s="252" t="s">
        <v>2251</v>
      </c>
      <c r="H908" s="442" t="s">
        <v>1727</v>
      </c>
      <c r="O908" s="253"/>
      <c r="W908" s="253"/>
      <c r="AE908" s="370">
        <f t="shared" si="122"/>
        <v>0</v>
      </c>
    </row>
    <row r="909" spans="6:33" ht="20.25" customHeight="1">
      <c r="H909" s="296" t="s">
        <v>2260</v>
      </c>
      <c r="W909" s="253"/>
      <c r="AE909" s="370">
        <f t="shared" si="122"/>
        <v>0</v>
      </c>
    </row>
    <row r="910" spans="6:33" ht="20.25" customHeight="1">
      <c r="H910" s="358" t="s">
        <v>1586</v>
      </c>
      <c r="J910" s="296" t="s">
        <v>1304</v>
      </c>
      <c r="W910" s="253"/>
      <c r="AE910" s="370">
        <f t="shared" si="122"/>
        <v>0</v>
      </c>
    </row>
    <row r="911" spans="6:33" ht="20.25" customHeight="1">
      <c r="W911" s="253"/>
      <c r="AE911" s="370">
        <f t="shared" si="122"/>
        <v>0</v>
      </c>
    </row>
    <row r="912" spans="6:33" ht="20.25" customHeight="1">
      <c r="H912" s="393" t="s">
        <v>5305</v>
      </c>
      <c r="J912" s="296" t="s">
        <v>609</v>
      </c>
      <c r="K912" s="366">
        <v>2135</v>
      </c>
      <c r="W912" s="253"/>
      <c r="AE912" s="370">
        <f t="shared" si="122"/>
        <v>0</v>
      </c>
    </row>
    <row r="913" spans="6:33" ht="20.25" customHeight="1">
      <c r="F913" s="296" t="s">
        <v>975</v>
      </c>
      <c r="W913" s="253"/>
      <c r="AE913" s="370">
        <f t="shared" si="122"/>
        <v>0</v>
      </c>
    </row>
    <row r="914" spans="6:33" ht="20.25" customHeight="1">
      <c r="H914" s="253" t="s">
        <v>2261</v>
      </c>
      <c r="K914" s="358" t="s">
        <v>2055</v>
      </c>
      <c r="W914" s="253"/>
      <c r="AE914" s="370">
        <f t="shared" si="122"/>
        <v>0</v>
      </c>
    </row>
    <row r="915" spans="6:33" ht="20.25" customHeight="1">
      <c r="H915" s="253" t="s">
        <v>1368</v>
      </c>
      <c r="W915" s="253"/>
      <c r="AE915" s="370">
        <f t="shared" si="122"/>
        <v>0</v>
      </c>
    </row>
    <row r="916" spans="6:33" ht="20.25" customHeight="1">
      <c r="F916" s="375">
        <v>21.2</v>
      </c>
      <c r="H916" s="274" t="s">
        <v>1728</v>
      </c>
      <c r="W916" s="253"/>
      <c r="AE916" s="370">
        <f t="shared" si="122"/>
        <v>0</v>
      </c>
    </row>
    <row r="917" spans="6:33" ht="20.25" customHeight="1">
      <c r="F917" s="375"/>
      <c r="H917" s="358" t="s">
        <v>1586</v>
      </c>
      <c r="W917" s="253"/>
      <c r="AE917" s="370" t="str">
        <f t="shared" si="122"/>
        <v>|</v>
      </c>
      <c r="AG917" s="296" t="s">
        <v>2259</v>
      </c>
    </row>
    <row r="918" spans="6:33" ht="20.25" customHeight="1">
      <c r="G918" s="252" t="s">
        <v>154</v>
      </c>
      <c r="H918" s="296" t="s">
        <v>1369</v>
      </c>
      <c r="K918" s="296" t="s">
        <v>975</v>
      </c>
      <c r="W918" s="253"/>
      <c r="AE918" s="370" t="str">
        <f t="shared" si="122"/>
        <v>|</v>
      </c>
      <c r="AG918" s="296" t="s">
        <v>2259</v>
      </c>
    </row>
    <row r="919" spans="6:33" ht="20.25" customHeight="1">
      <c r="H919" s="358" t="s">
        <v>1586</v>
      </c>
      <c r="K919" s="296" t="s">
        <v>975</v>
      </c>
      <c r="W919" s="253"/>
      <c r="AE919" s="370" t="str">
        <f t="shared" si="122"/>
        <v>|</v>
      </c>
      <c r="AG919" s="296" t="s">
        <v>2259</v>
      </c>
    </row>
    <row r="920" spans="6:33" ht="20.25" customHeight="1">
      <c r="F920" s="252">
        <v>1</v>
      </c>
      <c r="G920" s="252" t="s">
        <v>869</v>
      </c>
      <c r="H920" s="296" t="s">
        <v>1568</v>
      </c>
      <c r="I920" s="252">
        <f>C30</f>
        <v>13690</v>
      </c>
      <c r="J920" s="296" t="s">
        <v>869</v>
      </c>
      <c r="K920" s="252">
        <f>(F920*I920)</f>
        <v>13690</v>
      </c>
      <c r="W920" s="253"/>
      <c r="AE920" s="370" t="str">
        <f t="shared" si="122"/>
        <v>|</v>
      </c>
      <c r="AG920" s="296" t="s">
        <v>2259</v>
      </c>
    </row>
    <row r="921" spans="6:33" ht="20.25" customHeight="1">
      <c r="F921" s="252">
        <v>1</v>
      </c>
      <c r="G921" s="252" t="s">
        <v>869</v>
      </c>
      <c r="H921" s="296" t="s">
        <v>1369</v>
      </c>
      <c r="I921" s="252">
        <f>C88</f>
        <v>111600</v>
      </c>
      <c r="J921" s="296" t="s">
        <v>869</v>
      </c>
      <c r="K921" s="252">
        <f>(F921*I921)</f>
        <v>111600</v>
      </c>
      <c r="W921" s="253"/>
      <c r="AE921" s="370" t="str">
        <f t="shared" si="122"/>
        <v>|</v>
      </c>
      <c r="AG921" s="296" t="s">
        <v>2259</v>
      </c>
    </row>
    <row r="922" spans="6:33" ht="20.25" customHeight="1">
      <c r="K922" s="358" t="s">
        <v>2055</v>
      </c>
      <c r="W922" s="253"/>
      <c r="AE922" s="370">
        <f t="shared" si="122"/>
        <v>0</v>
      </c>
    </row>
    <row r="923" spans="6:33" ht="20.25" customHeight="1">
      <c r="H923" s="296" t="s">
        <v>1569</v>
      </c>
      <c r="K923" s="274">
        <f>SUM(K920:K921)</f>
        <v>125290</v>
      </c>
      <c r="W923" s="253"/>
      <c r="AE923" s="370" t="str">
        <f t="shared" si="122"/>
        <v>|</v>
      </c>
      <c r="AG923" s="296" t="s">
        <v>2259</v>
      </c>
    </row>
    <row r="924" spans="6:33" ht="20.25" customHeight="1">
      <c r="K924" s="358" t="s">
        <v>2055</v>
      </c>
      <c r="W924" s="253"/>
      <c r="AE924" s="370" t="str">
        <f t="shared" si="122"/>
        <v>|</v>
      </c>
      <c r="AG924" s="296" t="s">
        <v>2259</v>
      </c>
    </row>
    <row r="925" spans="6:33" ht="20.25" customHeight="1">
      <c r="G925" s="252" t="s">
        <v>1555</v>
      </c>
      <c r="H925" s="296" t="s">
        <v>1570</v>
      </c>
      <c r="K925" s="296" t="s">
        <v>975</v>
      </c>
      <c r="W925" s="253"/>
      <c r="AE925" s="370" t="str">
        <f t="shared" si="122"/>
        <v>|</v>
      </c>
      <c r="AG925" s="296" t="s">
        <v>2259</v>
      </c>
    </row>
    <row r="926" spans="6:33" ht="20.25" customHeight="1">
      <c r="H926" s="358" t="s">
        <v>1586</v>
      </c>
      <c r="M926" s="253" t="s">
        <v>564</v>
      </c>
      <c r="N926" s="252" t="s">
        <v>2251</v>
      </c>
      <c r="O926" s="296" t="s">
        <v>329</v>
      </c>
      <c r="Q926" s="296"/>
      <c r="W926" s="253"/>
      <c r="AE926" s="370">
        <f t="shared" si="122"/>
        <v>0</v>
      </c>
      <c r="AG926" s="296"/>
    </row>
    <row r="927" spans="6:33" ht="20.25"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0.25"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0.25" customHeight="1">
      <c r="K929" s="358" t="s">
        <v>2055</v>
      </c>
      <c r="O929" s="358" t="s">
        <v>1586</v>
      </c>
      <c r="Q929" s="296"/>
      <c r="W929" s="253"/>
      <c r="AE929" s="370" t="str">
        <f t="shared" si="122"/>
        <v>|</v>
      </c>
      <c r="AG929" s="296" t="s">
        <v>2259</v>
      </c>
    </row>
    <row r="930" spans="6:33" ht="20.25" customHeight="1">
      <c r="H930" s="296" t="s">
        <v>1571</v>
      </c>
      <c r="K930" s="274">
        <f>SUM(K927:K928)</f>
        <v>113090</v>
      </c>
      <c r="O930" s="296" t="s">
        <v>89</v>
      </c>
      <c r="Q930" s="296"/>
      <c r="W930" s="253"/>
      <c r="AE930" s="370" t="str">
        <f t="shared" si="122"/>
        <v>|</v>
      </c>
      <c r="AG930" s="296" t="s">
        <v>2259</v>
      </c>
    </row>
    <row r="931" spans="6:33" ht="20.25" customHeight="1">
      <c r="K931" s="358" t="s">
        <v>2055</v>
      </c>
      <c r="O931" s="296" t="s">
        <v>90</v>
      </c>
      <c r="Q931" s="296"/>
      <c r="W931" s="253"/>
      <c r="AE931" s="370" t="str">
        <f t="shared" si="122"/>
        <v>|</v>
      </c>
      <c r="AG931" s="296" t="s">
        <v>2259</v>
      </c>
    </row>
    <row r="932" spans="6:33" ht="20.25" customHeight="1">
      <c r="Q932" s="296" t="s">
        <v>1586</v>
      </c>
      <c r="W932" s="253"/>
      <c r="AE932" s="370" t="str">
        <f t="shared" si="122"/>
        <v>|</v>
      </c>
      <c r="AG932" s="296" t="s">
        <v>2259</v>
      </c>
    </row>
    <row r="933" spans="6:33" ht="20.25" customHeight="1">
      <c r="F933" s="253" t="s">
        <v>564</v>
      </c>
      <c r="G933" s="252" t="s">
        <v>2251</v>
      </c>
      <c r="H933" s="296" t="s">
        <v>255</v>
      </c>
      <c r="O933" s="296" t="s">
        <v>1172</v>
      </c>
      <c r="Q933" s="296"/>
      <c r="W933" s="253"/>
      <c r="AE933" s="370" t="str">
        <f t="shared" si="122"/>
        <v>|</v>
      </c>
      <c r="AG933" s="296" t="s">
        <v>2259</v>
      </c>
    </row>
    <row r="934" spans="6:33" ht="20.25" customHeight="1">
      <c r="H934" s="296" t="s">
        <v>256</v>
      </c>
      <c r="O934" s="296" t="s">
        <v>2006</v>
      </c>
      <c r="Q934" s="296"/>
      <c r="R934" s="400">
        <v>2.4299999999999999E-2</v>
      </c>
      <c r="W934" s="253"/>
      <c r="AE934" s="370" t="str">
        <f t="shared" si="122"/>
        <v>|</v>
      </c>
      <c r="AG934" s="296" t="s">
        <v>2259</v>
      </c>
    </row>
    <row r="935" spans="6:33" ht="20.25" customHeight="1">
      <c r="H935" s="296" t="s">
        <v>1470</v>
      </c>
      <c r="Q935" s="296" t="s">
        <v>975</v>
      </c>
      <c r="R935" s="358" t="s">
        <v>1586</v>
      </c>
      <c r="W935" s="253"/>
      <c r="AE935" s="370" t="str">
        <f t="shared" si="122"/>
        <v>|</v>
      </c>
      <c r="AG935" s="296" t="s">
        <v>2259</v>
      </c>
    </row>
    <row r="936" spans="6:33" ht="20.25" customHeight="1">
      <c r="H936" s="358" t="s">
        <v>1586</v>
      </c>
      <c r="O936" s="296" t="s">
        <v>2007</v>
      </c>
      <c r="Q936" s="443" t="s">
        <v>975</v>
      </c>
      <c r="R936" s="400">
        <v>1.47E-2</v>
      </c>
      <c r="W936" s="253"/>
      <c r="AE936" s="370" t="str">
        <f t="shared" si="122"/>
        <v>|</v>
      </c>
      <c r="AG936" s="296" t="s">
        <v>2259</v>
      </c>
    </row>
    <row r="937" spans="6:33" ht="20.25" customHeight="1">
      <c r="H937" s="296" t="s">
        <v>89</v>
      </c>
      <c r="O937" s="296" t="s">
        <v>1766</v>
      </c>
      <c r="Q937" s="296" t="s">
        <v>975</v>
      </c>
      <c r="R937" s="400">
        <v>4.5999999999999999E-3</v>
      </c>
      <c r="W937" s="253"/>
      <c r="AE937" s="370" t="str">
        <f t="shared" si="122"/>
        <v>|</v>
      </c>
      <c r="AG937" s="296" t="s">
        <v>2259</v>
      </c>
    </row>
    <row r="938" spans="6:33" ht="20.25" customHeight="1">
      <c r="H938" s="296" t="s">
        <v>90</v>
      </c>
      <c r="Q938" s="296"/>
      <c r="R938" s="358" t="s">
        <v>1586</v>
      </c>
      <c r="W938" s="253"/>
      <c r="AE938" s="370" t="str">
        <f t="shared" si="122"/>
        <v>|</v>
      </c>
      <c r="AG938" s="296" t="s">
        <v>2259</v>
      </c>
    </row>
    <row r="939" spans="6:33" ht="20.25" customHeight="1">
      <c r="J939" s="296" t="s">
        <v>1586</v>
      </c>
      <c r="Q939" s="296"/>
      <c r="R939" s="400">
        <v>1.9300000000000001E-2</v>
      </c>
      <c r="W939" s="253"/>
      <c r="AE939" s="370" t="str">
        <f t="shared" si="122"/>
        <v>|</v>
      </c>
      <c r="AG939" s="296" t="s">
        <v>2259</v>
      </c>
    </row>
    <row r="940" spans="6:33" ht="20.25" customHeight="1">
      <c r="H940" s="296" t="s">
        <v>1172</v>
      </c>
      <c r="Q940" s="296"/>
      <c r="R940" s="358" t="s">
        <v>1586</v>
      </c>
      <c r="W940" s="253"/>
      <c r="AE940" s="370" t="str">
        <f t="shared" si="122"/>
        <v>|</v>
      </c>
      <c r="AG940" s="296" t="s">
        <v>2259</v>
      </c>
    </row>
    <row r="941" spans="6:33" ht="20.25" customHeight="1">
      <c r="H941" s="296" t="s">
        <v>2006</v>
      </c>
      <c r="K941" s="400">
        <v>2.4299999999999999E-2</v>
      </c>
      <c r="Q941" s="296"/>
      <c r="W941" s="253"/>
      <c r="AE941" s="370" t="str">
        <f t="shared" si="122"/>
        <v>|</v>
      </c>
      <c r="AG941" s="296" t="s">
        <v>2259</v>
      </c>
    </row>
    <row r="942" spans="6:33" ht="20.25" customHeight="1">
      <c r="J942" s="296" t="s">
        <v>975</v>
      </c>
      <c r="K942" s="358" t="s">
        <v>1586</v>
      </c>
      <c r="Q942" s="296"/>
      <c r="W942" s="253"/>
      <c r="AE942" s="370" t="str">
        <f t="shared" si="122"/>
        <v>|</v>
      </c>
      <c r="AG942" s="296" t="s">
        <v>2259</v>
      </c>
    </row>
    <row r="943" spans="6:33" ht="20.25"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0.25"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0.25"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0.25" customHeight="1">
      <c r="K946" s="400">
        <v>1.9300000000000001E-2</v>
      </c>
      <c r="M946" s="316"/>
      <c r="O946" s="296"/>
      <c r="P946" s="296" t="s">
        <v>975</v>
      </c>
      <c r="Q946" s="296"/>
      <c r="R946" s="296" t="s">
        <v>975</v>
      </c>
      <c r="W946" s="253"/>
      <c r="AE946" s="370">
        <f t="shared" si="122"/>
        <v>0</v>
      </c>
    </row>
    <row r="947" spans="6:33" ht="20.25"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0.25" customHeight="1">
      <c r="M948" s="252">
        <v>1</v>
      </c>
      <c r="N948" s="252" t="s">
        <v>769</v>
      </c>
      <c r="O948" s="296" t="s">
        <v>1463</v>
      </c>
      <c r="P948" s="252">
        <f t="shared" ref="P948:P953" si="131">I955</f>
        <v>57.65</v>
      </c>
      <c r="Q948" s="296" t="s">
        <v>868</v>
      </c>
      <c r="R948" s="252">
        <f t="shared" si="130"/>
        <v>57.65</v>
      </c>
      <c r="W948" s="253"/>
      <c r="AE948" s="370">
        <f t="shared" si="122"/>
        <v>0</v>
      </c>
    </row>
    <row r="949" spans="6:33" ht="20.25" customHeight="1">
      <c r="M949" s="252">
        <v>3</v>
      </c>
      <c r="N949" s="252" t="s">
        <v>868</v>
      </c>
      <c r="O949" s="296" t="s">
        <v>1464</v>
      </c>
      <c r="P949" s="252">
        <f t="shared" si="131"/>
        <v>89.6</v>
      </c>
      <c r="Q949" s="296" t="s">
        <v>868</v>
      </c>
      <c r="R949" s="252">
        <f t="shared" si="130"/>
        <v>268.8</v>
      </c>
      <c r="W949" s="253"/>
      <c r="AE949" s="370">
        <f t="shared" si="122"/>
        <v>0</v>
      </c>
    </row>
    <row r="950" spans="6:33" ht="20.25"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0.25"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0.25"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0.25"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0.25"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0.25" customHeight="1">
      <c r="F955" s="252">
        <v>1</v>
      </c>
      <c r="G955" s="252" t="s">
        <v>769</v>
      </c>
      <c r="H955" s="296" t="s">
        <v>6024</v>
      </c>
      <c r="I955" s="252">
        <f>C598</f>
        <v>57.65</v>
      </c>
      <c r="J955" s="296" t="s">
        <v>868</v>
      </c>
      <c r="K955" s="252">
        <f t="shared" si="133"/>
        <v>57.65</v>
      </c>
      <c r="O955" s="296" t="s">
        <v>1468</v>
      </c>
      <c r="Q955" s="296"/>
      <c r="R955" s="252">
        <f>SUM(R943:R953)</f>
        <v>5480.78</v>
      </c>
      <c r="W955" s="253"/>
      <c r="AE955" s="370">
        <f t="shared" si="132"/>
        <v>0</v>
      </c>
    </row>
    <row r="956" spans="6:33" ht="20.25" customHeight="1">
      <c r="F956" s="252">
        <v>3</v>
      </c>
      <c r="G956" s="252" t="s">
        <v>868</v>
      </c>
      <c r="H956" s="296" t="s">
        <v>6025</v>
      </c>
      <c r="I956" s="252">
        <f>C279</f>
        <v>89.6</v>
      </c>
      <c r="J956" s="296" t="s">
        <v>868</v>
      </c>
      <c r="K956" s="252">
        <f t="shared" si="133"/>
        <v>268.8</v>
      </c>
      <c r="Q956" s="296"/>
      <c r="R956" s="358" t="s">
        <v>1586</v>
      </c>
      <c r="W956" s="253"/>
      <c r="AE956" s="370">
        <f t="shared" si="132"/>
        <v>0</v>
      </c>
    </row>
    <row r="957" spans="6:33" ht="20.25" customHeight="1">
      <c r="F957" s="252">
        <v>2</v>
      </c>
      <c r="G957" s="252" t="s">
        <v>868</v>
      </c>
      <c r="H957" s="296" t="s">
        <v>6026</v>
      </c>
      <c r="I957" s="252">
        <f>C284</f>
        <v>64.8</v>
      </c>
      <c r="J957" s="296" t="s">
        <v>868</v>
      </c>
      <c r="K957" s="252">
        <f t="shared" si="133"/>
        <v>129.6</v>
      </c>
      <c r="O957" s="255" t="s">
        <v>552</v>
      </c>
      <c r="Q957" s="296"/>
      <c r="R957" s="274">
        <f>R955/M947</f>
        <v>3006.46</v>
      </c>
      <c r="W957" s="253"/>
      <c r="AE957" s="370">
        <f t="shared" si="132"/>
        <v>0</v>
      </c>
    </row>
    <row r="958" spans="6:33" ht="20.25" customHeight="1">
      <c r="F958" s="252">
        <v>1</v>
      </c>
      <c r="G958" s="252" t="s">
        <v>868</v>
      </c>
      <c r="H958" s="296" t="s">
        <v>6027</v>
      </c>
      <c r="I958" s="252">
        <f>C286</f>
        <v>181</v>
      </c>
      <c r="J958" s="296" t="s">
        <v>868</v>
      </c>
      <c r="K958" s="252">
        <f t="shared" si="133"/>
        <v>181</v>
      </c>
      <c r="M958" s="296" t="s">
        <v>975</v>
      </c>
      <c r="Q958" s="296"/>
      <c r="W958" s="253"/>
      <c r="AE958" s="370">
        <f t="shared" si="132"/>
        <v>0</v>
      </c>
    </row>
    <row r="959" spans="6:33" ht="20.25"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0.25" customHeight="1">
      <c r="F960" s="252">
        <v>1</v>
      </c>
      <c r="G960" s="252" t="s">
        <v>868</v>
      </c>
      <c r="H960" s="296" t="s">
        <v>6028</v>
      </c>
      <c r="I960" s="252">
        <f>D598</f>
        <v>49.55</v>
      </c>
      <c r="J960" s="296" t="s">
        <v>868</v>
      </c>
      <c r="K960" s="252">
        <f t="shared" si="133"/>
        <v>49.55</v>
      </c>
      <c r="W960" s="253"/>
      <c r="AE960" s="370" t="str">
        <f t="shared" si="132"/>
        <v>|</v>
      </c>
      <c r="AG960" s="296" t="s">
        <v>2259</v>
      </c>
    </row>
    <row r="961" spans="6:33" ht="20.25" customHeight="1">
      <c r="F961" s="252">
        <v>64</v>
      </c>
      <c r="G961" s="252" t="s">
        <v>1030</v>
      </c>
      <c r="H961" s="393" t="s">
        <v>5867</v>
      </c>
      <c r="I961" s="362">
        <v>2.41</v>
      </c>
      <c r="J961" s="296" t="s">
        <v>158</v>
      </c>
      <c r="K961" s="252">
        <f t="shared" si="133"/>
        <v>154.24</v>
      </c>
      <c r="W961" s="253"/>
      <c r="AE961" s="370" t="str">
        <f t="shared" si="132"/>
        <v>|</v>
      </c>
      <c r="AG961" s="296" t="s">
        <v>2259</v>
      </c>
    </row>
    <row r="962" spans="6:33" ht="20.25" customHeight="1">
      <c r="H962" s="296" t="s">
        <v>1468</v>
      </c>
      <c r="K962" s="252">
        <f>SUM(K950:K961)</f>
        <v>9171.25</v>
      </c>
      <c r="W962" s="253"/>
      <c r="AE962" s="370" t="str">
        <f t="shared" si="132"/>
        <v>|</v>
      </c>
      <c r="AG962" s="296" t="s">
        <v>2259</v>
      </c>
    </row>
    <row r="963" spans="6:33" ht="20.25" customHeight="1">
      <c r="K963" s="358" t="s">
        <v>1586</v>
      </c>
      <c r="W963" s="253"/>
      <c r="AE963" s="370" t="str">
        <f t="shared" si="132"/>
        <v>|</v>
      </c>
      <c r="AG963" s="296" t="s">
        <v>2259</v>
      </c>
    </row>
    <row r="964" spans="6:33" ht="20.25" customHeight="1">
      <c r="H964" s="255" t="s">
        <v>552</v>
      </c>
      <c r="K964" s="274">
        <f>K962/F954</f>
        <v>5030.8599999999997</v>
      </c>
      <c r="W964" s="253"/>
      <c r="AE964" s="370" t="str">
        <f t="shared" si="132"/>
        <v>|</v>
      </c>
      <c r="AG964" s="296" t="s">
        <v>2259</v>
      </c>
    </row>
    <row r="965" spans="6:33" ht="20.25" customHeight="1">
      <c r="F965" s="296" t="s">
        <v>975</v>
      </c>
      <c r="W965" s="253"/>
      <c r="AE965" s="370" t="str">
        <f t="shared" si="132"/>
        <v>|</v>
      </c>
      <c r="AG965" s="296" t="s">
        <v>2259</v>
      </c>
    </row>
    <row r="966" spans="6:33" ht="20.25" customHeight="1">
      <c r="K966" s="358" t="s">
        <v>2055</v>
      </c>
      <c r="W966" s="253"/>
      <c r="AE966" s="370" t="str">
        <f t="shared" si="132"/>
        <v>|</v>
      </c>
      <c r="AG966" s="296" t="s">
        <v>2259</v>
      </c>
    </row>
    <row r="967" spans="6:33" ht="20.25" customHeight="1">
      <c r="W967" s="253"/>
      <c r="AE967" s="370" t="str">
        <f t="shared" si="132"/>
        <v>|</v>
      </c>
      <c r="AG967" s="296" t="s">
        <v>2259</v>
      </c>
    </row>
    <row r="968" spans="6:33" ht="20.25" customHeight="1">
      <c r="W968" s="253"/>
      <c r="AE968" s="370" t="str">
        <f t="shared" si="132"/>
        <v>|</v>
      </c>
      <c r="AG968" s="296" t="s">
        <v>2259</v>
      </c>
    </row>
    <row r="969" spans="6:33" ht="20.25" customHeight="1">
      <c r="F969" s="253" t="s">
        <v>1338</v>
      </c>
      <c r="G969" s="252" t="s">
        <v>2251</v>
      </c>
      <c r="H969" s="296" t="s">
        <v>255</v>
      </c>
      <c r="W969" s="253"/>
      <c r="AE969" s="370" t="str">
        <f t="shared" si="132"/>
        <v>|</v>
      </c>
      <c r="AG969" s="296" t="s">
        <v>2259</v>
      </c>
    </row>
    <row r="970" spans="6:33" ht="20.25" customHeight="1">
      <c r="H970" s="296" t="s">
        <v>256</v>
      </c>
      <c r="W970" s="253"/>
      <c r="AE970" s="370" t="str">
        <f t="shared" si="132"/>
        <v>|</v>
      </c>
      <c r="AG970" s="296" t="s">
        <v>2259</v>
      </c>
    </row>
    <row r="971" spans="6:33" ht="20.25" customHeight="1">
      <c r="H971" s="296" t="s">
        <v>1471</v>
      </c>
      <c r="W971" s="253"/>
      <c r="AE971" s="370" t="str">
        <f t="shared" si="132"/>
        <v>|</v>
      </c>
      <c r="AG971" s="296" t="s">
        <v>2259</v>
      </c>
    </row>
    <row r="972" spans="6:33" ht="20.25" customHeight="1">
      <c r="H972" s="358" t="s">
        <v>1586</v>
      </c>
      <c r="W972" s="253"/>
      <c r="AE972" s="370" t="str">
        <f t="shared" si="132"/>
        <v>|</v>
      </c>
      <c r="AG972" s="296" t="s">
        <v>2259</v>
      </c>
    </row>
    <row r="973" spans="6:33" ht="20.25" customHeight="1">
      <c r="W973" s="253"/>
      <c r="AE973" s="370" t="str">
        <f t="shared" si="132"/>
        <v>|</v>
      </c>
      <c r="AG973" s="296" t="s">
        <v>2259</v>
      </c>
    </row>
    <row r="974" spans="6:33" ht="20.25" customHeight="1">
      <c r="H974" s="296" t="s">
        <v>644</v>
      </c>
      <c r="W974" s="253"/>
      <c r="AE974" s="370">
        <f t="shared" si="132"/>
        <v>0</v>
      </c>
    </row>
    <row r="975" spans="6:33" ht="20.25" customHeight="1">
      <c r="H975" s="296" t="s">
        <v>645</v>
      </c>
      <c r="W975" s="253"/>
      <c r="AE975" s="370" t="str">
        <f t="shared" si="132"/>
        <v>|</v>
      </c>
      <c r="AG975" s="296" t="s">
        <v>2259</v>
      </c>
    </row>
    <row r="976" spans="6:33" ht="20.25" customHeight="1">
      <c r="J976" s="296" t="s">
        <v>1586</v>
      </c>
      <c r="W976" s="253"/>
      <c r="AE976" s="370">
        <f t="shared" si="132"/>
        <v>0</v>
      </c>
    </row>
    <row r="977" spans="6:33" ht="20.25" customHeight="1">
      <c r="H977" s="296" t="s">
        <v>646</v>
      </c>
      <c r="W977" s="253"/>
      <c r="AE977" s="370">
        <f t="shared" si="132"/>
        <v>0</v>
      </c>
    </row>
    <row r="978" spans="6:33" ht="20.25" customHeight="1">
      <c r="H978" s="296" t="s">
        <v>647</v>
      </c>
      <c r="K978" s="400">
        <v>2.1999999999999999E-2</v>
      </c>
      <c r="W978" s="253"/>
      <c r="AE978" s="370" t="str">
        <f t="shared" si="132"/>
        <v>|</v>
      </c>
      <c r="AG978" s="296" t="s">
        <v>2259</v>
      </c>
    </row>
    <row r="979" spans="6:33" ht="20.25" customHeight="1">
      <c r="J979" s="296" t="s">
        <v>975</v>
      </c>
      <c r="K979" s="358" t="s">
        <v>1586</v>
      </c>
      <c r="W979" s="253"/>
      <c r="AE979" s="370" t="str">
        <f t="shared" si="132"/>
        <v>|</v>
      </c>
      <c r="AG979" s="296" t="s">
        <v>2259</v>
      </c>
    </row>
    <row r="980" spans="6:33" ht="20.25" customHeight="1">
      <c r="H980" s="296" t="s">
        <v>859</v>
      </c>
      <c r="J980" s="443" t="s">
        <v>975</v>
      </c>
      <c r="K980" s="400">
        <v>1.3100000000000001E-2</v>
      </c>
      <c r="W980" s="253"/>
      <c r="AE980" s="370" t="str">
        <f t="shared" si="132"/>
        <v>|</v>
      </c>
      <c r="AG980" s="296" t="s">
        <v>2259</v>
      </c>
    </row>
    <row r="981" spans="6:33" ht="20.25" customHeight="1">
      <c r="H981" s="296" t="s">
        <v>2152</v>
      </c>
      <c r="J981" s="296" t="s">
        <v>975</v>
      </c>
      <c r="K981" s="400">
        <v>3.3999999999999998E-3</v>
      </c>
      <c r="W981" s="253"/>
      <c r="AE981" s="370" t="str">
        <f t="shared" si="132"/>
        <v>|</v>
      </c>
      <c r="AG981" s="296" t="s">
        <v>2259</v>
      </c>
    </row>
    <row r="982" spans="6:33" ht="20.25" customHeight="1">
      <c r="K982" s="358" t="s">
        <v>1586</v>
      </c>
      <c r="W982" s="253"/>
      <c r="AE982" s="370">
        <f t="shared" si="132"/>
        <v>0</v>
      </c>
    </row>
    <row r="983" spans="6:33" ht="20.25" customHeight="1">
      <c r="K983" s="400">
        <v>1.6500000000000001E-2</v>
      </c>
      <c r="W983" s="253"/>
      <c r="AE983" s="370">
        <f t="shared" si="132"/>
        <v>0</v>
      </c>
    </row>
    <row r="984" spans="6:33" ht="20.25" customHeight="1">
      <c r="K984" s="358" t="s">
        <v>1586</v>
      </c>
      <c r="O984" s="252" t="s">
        <v>4381</v>
      </c>
      <c r="W984" s="253"/>
      <c r="AE984" s="370">
        <f t="shared" si="132"/>
        <v>0</v>
      </c>
    </row>
    <row r="985" spans="6:33" ht="20.25"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0.25"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0.25" customHeight="1">
      <c r="F987" s="400">
        <v>1.6500000000000001E-2</v>
      </c>
      <c r="G987" s="252" t="s">
        <v>869</v>
      </c>
      <c r="H987" s="296" t="s">
        <v>310</v>
      </c>
      <c r="I987" s="252">
        <f>C90</f>
        <v>95000</v>
      </c>
      <c r="J987" s="296" t="s">
        <v>869</v>
      </c>
      <c r="K987" s="252">
        <f>(F987*I987)</f>
        <v>1567.5</v>
      </c>
      <c r="L987" s="252" t="s">
        <v>5464</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0.25"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0.25"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0.25"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0.25"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0.25"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0.25"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0.25"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0.25"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0.25"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0.25" customHeight="1">
      <c r="K997" s="358" t="s">
        <v>1586</v>
      </c>
      <c r="M997" s="252">
        <v>58</v>
      </c>
      <c r="O997" s="296" t="s">
        <v>1742</v>
      </c>
      <c r="P997" s="445">
        <f t="shared" si="134"/>
        <v>2.41</v>
      </c>
      <c r="Q997" s="296"/>
      <c r="R997" s="252">
        <f t="shared" si="135"/>
        <v>139.78</v>
      </c>
      <c r="W997" s="253"/>
      <c r="AE997" s="370" t="str">
        <f t="shared" si="132"/>
        <v>|</v>
      </c>
      <c r="AG997" s="296" t="s">
        <v>2259</v>
      </c>
    </row>
    <row r="998" spans="6:33" ht="20.25" customHeight="1">
      <c r="H998" s="296" t="s">
        <v>2153</v>
      </c>
      <c r="K998" s="252">
        <f>SUM(K985:K996)</f>
        <v>8276.3799999999992</v>
      </c>
      <c r="O998" s="253" t="s">
        <v>1983</v>
      </c>
      <c r="Q998" s="296"/>
      <c r="R998" s="252">
        <f>SUM(R987:R997)</f>
        <v>5004.3</v>
      </c>
      <c r="W998" s="253"/>
      <c r="AE998" s="370" t="str">
        <f t="shared" si="132"/>
        <v>|</v>
      </c>
      <c r="AG998" s="296" t="s">
        <v>2259</v>
      </c>
    </row>
    <row r="999" spans="6:33" ht="20.25" customHeight="1">
      <c r="K999" s="358" t="s">
        <v>1586</v>
      </c>
      <c r="N999" s="252" t="s">
        <v>975</v>
      </c>
      <c r="Q999" s="296"/>
      <c r="R999" s="358" t="s">
        <v>1586</v>
      </c>
      <c r="W999" s="253"/>
      <c r="AE999" s="370" t="str">
        <f t="shared" si="132"/>
        <v>|</v>
      </c>
      <c r="AG999" s="296" t="s">
        <v>2259</v>
      </c>
    </row>
    <row r="1000" spans="6:33" ht="20.25" customHeight="1">
      <c r="H1000" s="255" t="s">
        <v>5463</v>
      </c>
      <c r="K1000" s="274">
        <f>K998/F989</f>
        <v>5046.57</v>
      </c>
      <c r="O1000" s="255" t="s">
        <v>552</v>
      </c>
      <c r="Q1000" s="296"/>
      <c r="R1000" s="274">
        <f>R998/M990</f>
        <v>4068.54</v>
      </c>
      <c r="W1000" s="253"/>
      <c r="AE1000" s="370" t="str">
        <f t="shared" si="132"/>
        <v>|</v>
      </c>
      <c r="AG1000" s="296" t="s">
        <v>2259</v>
      </c>
    </row>
    <row r="1001" spans="6:33" ht="20.25" customHeight="1">
      <c r="K1001" s="358" t="s">
        <v>2055</v>
      </c>
      <c r="Q1001" s="296"/>
      <c r="R1001" s="358" t="s">
        <v>2055</v>
      </c>
      <c r="W1001" s="253"/>
      <c r="AE1001" s="370" t="str">
        <f t="shared" si="132"/>
        <v>|::</v>
      </c>
      <c r="AG1001" s="296" t="s">
        <v>321</v>
      </c>
    </row>
    <row r="1002" spans="6:33" ht="20.25" customHeight="1">
      <c r="F1002" s="253" t="s">
        <v>1337</v>
      </c>
      <c r="G1002" s="252" t="s">
        <v>2251</v>
      </c>
      <c r="H1002" s="296" t="s">
        <v>255</v>
      </c>
      <c r="W1002" s="253"/>
      <c r="AE1002" s="370">
        <f t="shared" si="132"/>
        <v>0</v>
      </c>
    </row>
    <row r="1003" spans="6:33" ht="20.25" customHeight="1">
      <c r="H1003" s="296" t="s">
        <v>256</v>
      </c>
      <c r="W1003" s="253"/>
      <c r="AE1003" s="370">
        <f t="shared" si="132"/>
        <v>0</v>
      </c>
    </row>
    <row r="1004" spans="6:33" ht="20.25" customHeight="1">
      <c r="H1004" s="296" t="s">
        <v>1472</v>
      </c>
      <c r="W1004" s="253"/>
      <c r="AE1004" s="370" t="str">
        <f t="shared" si="132"/>
        <v>|</v>
      </c>
      <c r="AG1004" s="296" t="s">
        <v>2259</v>
      </c>
    </row>
    <row r="1005" spans="6:33" ht="20.25" customHeight="1">
      <c r="H1005" s="358" t="s">
        <v>1586</v>
      </c>
      <c r="W1005" s="253"/>
      <c r="AE1005" s="370"/>
      <c r="AG1005" s="296"/>
    </row>
    <row r="1006" spans="6:33" ht="20.25" customHeight="1">
      <c r="H1006" s="296" t="s">
        <v>2154</v>
      </c>
      <c r="W1006" s="253"/>
      <c r="AE1006" s="370" t="str">
        <f t="shared" si="132"/>
        <v>|</v>
      </c>
      <c r="AG1006" s="296" t="s">
        <v>2259</v>
      </c>
    </row>
    <row r="1007" spans="6:33" ht="20.25" customHeight="1">
      <c r="H1007" s="296" t="s">
        <v>90</v>
      </c>
      <c r="W1007" s="253"/>
      <c r="AE1007" s="370" t="str">
        <f t="shared" si="132"/>
        <v>|</v>
      </c>
      <c r="AG1007" s="296" t="s">
        <v>2259</v>
      </c>
    </row>
    <row r="1008" spans="6:33" ht="20.25" customHeight="1">
      <c r="J1008" s="296" t="s">
        <v>1586</v>
      </c>
      <c r="W1008" s="253"/>
      <c r="AE1008" s="370" t="str">
        <f t="shared" si="132"/>
        <v>|</v>
      </c>
      <c r="AG1008" s="296" t="s">
        <v>2259</v>
      </c>
    </row>
    <row r="1009" spans="6:33" ht="20.25" customHeight="1">
      <c r="H1009" s="296" t="s">
        <v>2155</v>
      </c>
      <c r="W1009" s="253"/>
      <c r="AE1009" s="370" t="str">
        <f t="shared" si="132"/>
        <v>|</v>
      </c>
      <c r="AG1009" s="296" t="s">
        <v>2259</v>
      </c>
    </row>
    <row r="1010" spans="6:33" ht="20.25" customHeight="1">
      <c r="H1010" s="296" t="s">
        <v>459</v>
      </c>
      <c r="K1010" s="400">
        <v>1.1900000000000001E-2</v>
      </c>
      <c r="W1010" s="253"/>
      <c r="AE1010" s="370" t="str">
        <f t="shared" si="132"/>
        <v>|</v>
      </c>
      <c r="AG1010" s="296" t="s">
        <v>2259</v>
      </c>
    </row>
    <row r="1011" spans="6:33" ht="20.25" customHeight="1">
      <c r="J1011" s="296" t="s">
        <v>975</v>
      </c>
      <c r="K1011" s="358" t="s">
        <v>1586</v>
      </c>
      <c r="W1011" s="253"/>
      <c r="AE1011" s="370">
        <f t="shared" si="132"/>
        <v>0</v>
      </c>
    </row>
    <row r="1012" spans="6:33" ht="20.25" customHeight="1">
      <c r="H1012" s="296" t="s">
        <v>460</v>
      </c>
      <c r="J1012" s="443" t="s">
        <v>975</v>
      </c>
      <c r="K1012" s="400">
        <v>1.18E-2</v>
      </c>
      <c r="W1012" s="253"/>
      <c r="AE1012" s="370">
        <f t="shared" si="132"/>
        <v>0</v>
      </c>
    </row>
    <row r="1013" spans="6:33" ht="20.25" customHeight="1">
      <c r="H1013" s="296" t="s">
        <v>249</v>
      </c>
      <c r="J1013" s="296" t="s">
        <v>975</v>
      </c>
      <c r="K1013" s="448" t="s">
        <v>1586</v>
      </c>
      <c r="W1013" s="253"/>
      <c r="AE1013" s="370">
        <f t="shared" si="132"/>
        <v>0</v>
      </c>
    </row>
    <row r="1014" spans="6:33" ht="20.25" customHeight="1">
      <c r="W1014" s="253"/>
      <c r="AE1014" s="370">
        <f t="shared" ref="AE1014:AE1034" si="138">AG1014</f>
        <v>0</v>
      </c>
    </row>
    <row r="1015" spans="6:33" ht="20.25" customHeight="1">
      <c r="F1015" s="400">
        <v>1.14E-2</v>
      </c>
      <c r="G1015" s="252" t="s">
        <v>869</v>
      </c>
      <c r="H1015" s="296" t="s">
        <v>308</v>
      </c>
      <c r="I1015" s="252">
        <f>C88</f>
        <v>111600</v>
      </c>
      <c r="J1015" s="296" t="s">
        <v>869</v>
      </c>
      <c r="K1015" s="252">
        <f>(F1015*I1015)</f>
        <v>1272.24</v>
      </c>
      <c r="W1015" s="253"/>
      <c r="AE1015" s="370">
        <f t="shared" si="138"/>
        <v>0</v>
      </c>
    </row>
    <row r="1016" spans="6:33" ht="20.25"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0.25" customHeight="1">
      <c r="F1017" s="400">
        <v>1.18E-2</v>
      </c>
      <c r="G1017" s="252" t="s">
        <v>869</v>
      </c>
      <c r="H1017" s="296" t="s">
        <v>310</v>
      </c>
      <c r="I1017" s="252">
        <f>C90</f>
        <v>95000</v>
      </c>
      <c r="J1017" s="296" t="s">
        <v>869</v>
      </c>
      <c r="K1017" s="252">
        <f>(F1017*I1017)</f>
        <v>1121</v>
      </c>
      <c r="W1017" s="253"/>
      <c r="AE1017" s="370">
        <f t="shared" si="138"/>
        <v>0</v>
      </c>
    </row>
    <row r="1018" spans="6:33" ht="20.25" customHeight="1">
      <c r="F1018" s="400"/>
      <c r="H1018" s="296" t="s">
        <v>446</v>
      </c>
      <c r="I1018" s="296" t="s">
        <v>975</v>
      </c>
      <c r="K1018" s="296" t="s">
        <v>975</v>
      </c>
      <c r="W1018" s="253"/>
      <c r="AE1018" s="370">
        <f t="shared" si="138"/>
        <v>0</v>
      </c>
    </row>
    <row r="1019" spans="6:33" ht="20.25"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0.25" customHeight="1">
      <c r="F1020" s="252">
        <v>1</v>
      </c>
      <c r="G1020" s="252" t="s">
        <v>769</v>
      </c>
      <c r="H1020" s="296" t="s">
        <v>1136</v>
      </c>
      <c r="I1020" s="252">
        <f>C598</f>
        <v>57.65</v>
      </c>
      <c r="J1020" s="296" t="s">
        <v>868</v>
      </c>
      <c r="K1020" s="252">
        <f t="shared" si="139"/>
        <v>57.65</v>
      </c>
      <c r="W1020" s="253"/>
      <c r="AE1020" s="370">
        <f t="shared" si="138"/>
        <v>0</v>
      </c>
    </row>
    <row r="1021" spans="6:33" ht="20.25"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0.25"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0.25"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0.25" customHeight="1">
      <c r="F1024" s="252">
        <v>1</v>
      </c>
      <c r="G1024" s="252" t="s">
        <v>868</v>
      </c>
      <c r="H1024" s="296" t="str">
        <f t="shared" si="140"/>
        <v>NYLONBUSH</v>
      </c>
      <c r="I1024" s="252">
        <f>C288</f>
        <v>7.3</v>
      </c>
      <c r="J1024" s="296" t="s">
        <v>868</v>
      </c>
      <c r="K1024" s="252">
        <f t="shared" si="139"/>
        <v>7.3</v>
      </c>
      <c r="W1024" s="253"/>
      <c r="AE1024" s="370">
        <f t="shared" si="138"/>
        <v>0</v>
      </c>
    </row>
    <row r="1025" spans="6:31" ht="20.25"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0.25"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0.25" customHeight="1">
      <c r="K1027" s="358" t="s">
        <v>1586</v>
      </c>
      <c r="O1027" s="296" t="s">
        <v>2179</v>
      </c>
      <c r="Q1027" s="296"/>
      <c r="W1027" s="253"/>
      <c r="AE1027" s="370">
        <f t="shared" si="138"/>
        <v>0</v>
      </c>
    </row>
    <row r="1028" spans="6:31" ht="20.25" customHeight="1">
      <c r="H1028" s="296" t="s">
        <v>461</v>
      </c>
      <c r="K1028" s="252">
        <f>SUM(K1015:K1026)</f>
        <v>6161.56</v>
      </c>
      <c r="O1028" s="296" t="s">
        <v>2180</v>
      </c>
      <c r="Q1028" s="296"/>
      <c r="W1028" s="253"/>
      <c r="AE1028" s="370">
        <f t="shared" si="138"/>
        <v>0</v>
      </c>
    </row>
    <row r="1029" spans="6:31" ht="20.25" customHeight="1">
      <c r="K1029" s="358" t="s">
        <v>1586</v>
      </c>
      <c r="O1029" s="296" t="s">
        <v>2181</v>
      </c>
      <c r="Q1029" s="296"/>
      <c r="W1029" s="253"/>
      <c r="AE1029" s="370">
        <f t="shared" si="138"/>
        <v>0</v>
      </c>
    </row>
    <row r="1030" spans="6:31" ht="20.25" customHeight="1">
      <c r="H1030" s="255" t="s">
        <v>552</v>
      </c>
      <c r="K1030" s="274">
        <f>K1028/F1019</f>
        <v>5071.24</v>
      </c>
      <c r="O1030" s="296" t="s">
        <v>2182</v>
      </c>
      <c r="Q1030" s="296"/>
      <c r="W1030" s="253"/>
      <c r="AE1030" s="370">
        <f t="shared" si="138"/>
        <v>0</v>
      </c>
    </row>
    <row r="1031" spans="6:31" ht="20.25" customHeight="1">
      <c r="K1031" s="358" t="s">
        <v>2055</v>
      </c>
      <c r="O1031" s="296" t="s">
        <v>2183</v>
      </c>
      <c r="Q1031" s="296"/>
      <c r="W1031" s="253"/>
      <c r="AE1031" s="370">
        <f t="shared" si="138"/>
        <v>0</v>
      </c>
    </row>
    <row r="1032" spans="6:31" ht="20.25" customHeight="1">
      <c r="H1032" s="449" t="s">
        <v>3507</v>
      </c>
      <c r="I1032" s="450"/>
      <c r="J1032" s="451"/>
      <c r="K1032" s="449">
        <f>K912</f>
        <v>2135</v>
      </c>
      <c r="O1032" s="358" t="s">
        <v>1586</v>
      </c>
      <c r="Q1032" s="296"/>
      <c r="W1032" s="253"/>
      <c r="AE1032" s="370">
        <f t="shared" si="138"/>
        <v>0</v>
      </c>
    </row>
    <row r="1033" spans="6:31" ht="20.25" customHeight="1">
      <c r="F1033" s="253" t="s">
        <v>462</v>
      </c>
      <c r="G1033" s="252" t="s">
        <v>2251</v>
      </c>
      <c r="H1033" s="296" t="s">
        <v>2177</v>
      </c>
      <c r="O1033" s="296" t="s">
        <v>644</v>
      </c>
      <c r="Q1033" s="296"/>
      <c r="W1033" s="253"/>
      <c r="AE1033" s="370">
        <f t="shared" si="138"/>
        <v>0</v>
      </c>
    </row>
    <row r="1034" spans="6:31" ht="20.25" customHeight="1">
      <c r="H1034" s="296" t="s">
        <v>2179</v>
      </c>
      <c r="O1034" s="296" t="s">
        <v>2184</v>
      </c>
      <c r="Q1034" s="296"/>
      <c r="W1034" s="253"/>
      <c r="AE1034" s="370">
        <f t="shared" si="138"/>
        <v>0</v>
      </c>
    </row>
    <row r="1035" spans="6:31" ht="20.25" customHeight="1">
      <c r="H1035" s="296" t="s">
        <v>2180</v>
      </c>
      <c r="Q1035" s="296" t="s">
        <v>1586</v>
      </c>
      <c r="W1035" s="253"/>
      <c r="AE1035" s="370"/>
    </row>
    <row r="1036" spans="6:31" ht="20.25" customHeight="1">
      <c r="H1036" s="296" t="s">
        <v>2181</v>
      </c>
      <c r="O1036" s="296" t="s">
        <v>2185</v>
      </c>
      <c r="Q1036" s="296"/>
      <c r="W1036" s="253"/>
      <c r="AE1036" s="370">
        <f t="shared" ref="AE1036:AE1041" si="141">AG1036</f>
        <v>0</v>
      </c>
    </row>
    <row r="1037" spans="6:31" ht="20.25" customHeight="1">
      <c r="H1037" s="296" t="s">
        <v>2182</v>
      </c>
      <c r="O1037" s="296" t="s">
        <v>975</v>
      </c>
      <c r="P1037" s="296" t="s">
        <v>975</v>
      </c>
      <c r="Q1037" s="296"/>
      <c r="R1037" s="443" t="s">
        <v>975</v>
      </c>
      <c r="W1037" s="253"/>
      <c r="AE1037" s="370">
        <f t="shared" si="141"/>
        <v>0</v>
      </c>
    </row>
    <row r="1038" spans="6:31" ht="20.25" customHeight="1">
      <c r="H1038" s="296" t="s">
        <v>2183</v>
      </c>
      <c r="Q1038" s="296" t="s">
        <v>975</v>
      </c>
      <c r="R1038" s="296" t="s">
        <v>975</v>
      </c>
      <c r="W1038" s="253"/>
      <c r="AE1038" s="370">
        <f t="shared" si="141"/>
        <v>0</v>
      </c>
    </row>
    <row r="1039" spans="6:31" ht="20.25" customHeight="1">
      <c r="H1039" s="358" t="s">
        <v>1586</v>
      </c>
      <c r="O1039" s="296" t="s">
        <v>2111</v>
      </c>
      <c r="Q1039" s="443" t="s">
        <v>975</v>
      </c>
      <c r="R1039" s="443" t="s">
        <v>975</v>
      </c>
      <c r="W1039" s="253"/>
      <c r="AE1039" s="370">
        <f t="shared" si="141"/>
        <v>0</v>
      </c>
    </row>
    <row r="1040" spans="6:31" ht="20.25" customHeight="1">
      <c r="H1040" s="296" t="s">
        <v>644</v>
      </c>
      <c r="O1040" s="296" t="s">
        <v>111</v>
      </c>
      <c r="Q1040" s="296"/>
      <c r="R1040" s="443" t="s">
        <v>1740</v>
      </c>
      <c r="W1040" s="253"/>
      <c r="AE1040" s="370">
        <f t="shared" si="141"/>
        <v>0</v>
      </c>
    </row>
    <row r="1041" spans="6:33" ht="20.25" customHeight="1">
      <c r="H1041" s="296" t="s">
        <v>2184</v>
      </c>
      <c r="Q1041" s="296"/>
      <c r="R1041" s="296" t="s">
        <v>975</v>
      </c>
      <c r="W1041" s="253"/>
      <c r="AE1041" s="370">
        <f t="shared" si="141"/>
        <v>0</v>
      </c>
    </row>
    <row r="1042" spans="6:33" ht="20.25" customHeight="1">
      <c r="J1042" s="296" t="s">
        <v>1586</v>
      </c>
      <c r="Q1042" s="296"/>
      <c r="R1042" s="443" t="s">
        <v>975</v>
      </c>
      <c r="W1042" s="253"/>
      <c r="AB1042" s="253" t="s">
        <v>462</v>
      </c>
      <c r="AC1042" s="252" t="s">
        <v>2251</v>
      </c>
      <c r="AD1042" s="296" t="s">
        <v>6100</v>
      </c>
      <c r="AF1042" s="296"/>
    </row>
    <row r="1043" spans="6:33" ht="20.25" customHeight="1">
      <c r="H1043" s="296" t="s">
        <v>2185</v>
      </c>
      <c r="Q1043" s="296"/>
      <c r="R1043" s="296" t="s">
        <v>975</v>
      </c>
      <c r="W1043" s="253"/>
      <c r="AD1043" s="296" t="s">
        <v>2179</v>
      </c>
      <c r="AF1043" s="296"/>
    </row>
    <row r="1044" spans="6:33" ht="20.25" customHeight="1">
      <c r="H1044" s="296" t="s">
        <v>975</v>
      </c>
      <c r="I1044" s="296" t="s">
        <v>975</v>
      </c>
      <c r="K1044" s="443" t="s">
        <v>975</v>
      </c>
      <c r="M1044" s="253" t="s">
        <v>1473</v>
      </c>
      <c r="O1044" s="296" t="s">
        <v>720</v>
      </c>
      <c r="Q1044" s="296"/>
      <c r="R1044" s="296" t="s">
        <v>975</v>
      </c>
      <c r="W1044" s="253"/>
      <c r="AD1044" s="296" t="s">
        <v>2180</v>
      </c>
      <c r="AF1044" s="296"/>
    </row>
    <row r="1045" spans="6:33" ht="20.25" customHeight="1">
      <c r="J1045" s="296" t="s">
        <v>975</v>
      </c>
      <c r="K1045" s="296" t="s">
        <v>975</v>
      </c>
      <c r="O1045" s="358" t="s">
        <v>1586</v>
      </c>
      <c r="Q1045" s="296"/>
      <c r="W1045" s="253"/>
      <c r="AD1045" s="296" t="s">
        <v>2181</v>
      </c>
      <c r="AF1045" s="296"/>
    </row>
    <row r="1046" spans="6:33" s="445" customFormat="1" ht="20.25"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0.25" customHeight="1">
      <c r="H1047" s="296" t="s">
        <v>111</v>
      </c>
      <c r="K1047" s="443" t="s">
        <v>1740</v>
      </c>
      <c r="M1047" s="447">
        <v>1.35E-2</v>
      </c>
      <c r="N1047" s="252" t="s">
        <v>869</v>
      </c>
      <c r="O1047" s="296" t="s">
        <v>1761</v>
      </c>
      <c r="P1047" s="252">
        <f>P1046</f>
        <v>34300</v>
      </c>
      <c r="Q1047" s="296" t="s">
        <v>869</v>
      </c>
      <c r="R1047" s="252">
        <f t="shared" si="142"/>
        <v>463.05</v>
      </c>
      <c r="W1047" s="253"/>
      <c r="AD1047" s="296" t="s">
        <v>6101</v>
      </c>
      <c r="AF1047" s="296"/>
    </row>
    <row r="1048" spans="6:33" ht="20.25"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0.25"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0.25"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0.25"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0.25"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0.25"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0.25"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0.25"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0.25"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0.25"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0.25"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0.25"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0.25"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0.25"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0.25"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0.25"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0.25"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0.25"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0.25"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0.25"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0.25"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0.25"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0.25"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0.25"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0.25"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0.25"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0.25"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0.25" customHeight="1">
      <c r="F1075" s="252">
        <v>2</v>
      </c>
      <c r="G1075" s="252" t="s">
        <v>868</v>
      </c>
      <c r="H1075" s="296" t="s">
        <v>2107</v>
      </c>
      <c r="I1075" s="252">
        <f>C285</f>
        <v>39.700000000000003</v>
      </c>
      <c r="J1075" s="296" t="s">
        <v>868</v>
      </c>
      <c r="K1075" s="252">
        <f t="shared" si="149"/>
        <v>79.400000000000006</v>
      </c>
      <c r="O1075" s="253" t="s">
        <v>4382</v>
      </c>
      <c r="Q1075" s="296"/>
      <c r="R1075" s="252">
        <f>SUM(R1064:R1074)</f>
        <v>6482.88</v>
      </c>
      <c r="W1075" s="253"/>
      <c r="AD1075" s="255" t="s">
        <v>552</v>
      </c>
      <c r="AF1075" s="296"/>
      <c r="AG1075" s="274">
        <f>AG1073/AB1065</f>
        <v>4142.16</v>
      </c>
    </row>
    <row r="1076" spans="6:33" ht="20.25"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0.25"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0.25" customHeight="1">
      <c r="F1078" s="252">
        <v>24</v>
      </c>
      <c r="H1078" s="296" t="s">
        <v>1141</v>
      </c>
      <c r="I1078" s="252">
        <f>I1063</f>
        <v>2.41</v>
      </c>
      <c r="J1078" s="296" t="s">
        <v>868</v>
      </c>
      <c r="K1078" s="252">
        <f t="shared" si="149"/>
        <v>57.84</v>
      </c>
      <c r="Q1078" s="296"/>
      <c r="R1078" s="358" t="s">
        <v>2055</v>
      </c>
      <c r="W1078" s="253"/>
      <c r="AE1078" s="370"/>
    </row>
    <row r="1079" spans="6:33" ht="20.25" customHeight="1">
      <c r="H1079" s="253" t="s">
        <v>2110</v>
      </c>
      <c r="K1079" s="252">
        <f>SUM(K1071:K1078)</f>
        <v>1714.44</v>
      </c>
      <c r="W1079" s="253"/>
      <c r="AE1079" s="370"/>
    </row>
    <row r="1080" spans="6:33" ht="20.25" customHeight="1">
      <c r="K1080" s="358" t="s">
        <v>1586</v>
      </c>
      <c r="W1080" s="253"/>
      <c r="AE1080" s="370"/>
    </row>
    <row r="1081" spans="6:33" ht="20.25" customHeight="1">
      <c r="H1081" s="255" t="s">
        <v>552</v>
      </c>
      <c r="I1081" s="296" t="s">
        <v>975</v>
      </c>
      <c r="K1081" s="274">
        <f>K1079/F1073</f>
        <v>3597.23</v>
      </c>
      <c r="W1081" s="253"/>
      <c r="AE1081" s="370"/>
    </row>
    <row r="1082" spans="6:33" ht="20.25" customHeight="1">
      <c r="K1082" s="358" t="s">
        <v>2055</v>
      </c>
      <c r="W1082" s="253"/>
      <c r="AE1082" s="370"/>
    </row>
    <row r="1083" spans="6:33" ht="20.25" customHeight="1">
      <c r="F1083" s="253" t="s">
        <v>1614</v>
      </c>
      <c r="G1083" s="252" t="s">
        <v>2251</v>
      </c>
      <c r="H1083" s="296" t="s">
        <v>1339</v>
      </c>
      <c r="W1083" s="253"/>
      <c r="AE1083" s="370"/>
    </row>
    <row r="1084" spans="6:33" ht="20.25" customHeight="1">
      <c r="H1084" s="296" t="s">
        <v>709</v>
      </c>
      <c r="N1084" s="296" t="s">
        <v>255</v>
      </c>
      <c r="W1084" s="253"/>
      <c r="AE1084" s="370"/>
    </row>
    <row r="1085" spans="6:33" ht="20.25" customHeight="1">
      <c r="H1085" s="358" t="s">
        <v>1586</v>
      </c>
      <c r="N1085" s="296" t="s">
        <v>256</v>
      </c>
      <c r="W1085" s="253"/>
      <c r="AE1085" s="370"/>
    </row>
    <row r="1086" spans="6:33" ht="20.25"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0.25"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0.25" customHeight="1">
      <c r="F1088" s="447">
        <v>0.36199999999999999</v>
      </c>
      <c r="G1088" s="252" t="s">
        <v>609</v>
      </c>
      <c r="H1088" s="296" t="s">
        <v>2092</v>
      </c>
      <c r="I1088" s="252">
        <f>D31</f>
        <v>1436</v>
      </c>
      <c r="J1088" s="296" t="s">
        <v>609</v>
      </c>
      <c r="K1088" s="252">
        <f t="shared" si="150"/>
        <v>519.83000000000004</v>
      </c>
      <c r="W1088" s="253"/>
      <c r="AE1088" s="370"/>
    </row>
    <row r="1089" spans="6:31" ht="20.25"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0.25"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0.25"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0.25"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0.25"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0.25"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0.25"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0.25" customHeight="1">
      <c r="K1096" s="358" t="s">
        <v>1586</v>
      </c>
      <c r="M1096" s="252">
        <v>4</v>
      </c>
      <c r="N1096" s="252" t="s">
        <v>868</v>
      </c>
      <c r="O1096" s="296" t="s">
        <v>1465</v>
      </c>
      <c r="P1096" s="252">
        <f t="shared" si="152"/>
        <v>64.8</v>
      </c>
      <c r="Q1096" s="296" t="s">
        <v>868</v>
      </c>
      <c r="R1096" s="252">
        <f t="shared" si="151"/>
        <v>259.2</v>
      </c>
      <c r="W1096" s="253"/>
      <c r="AE1096" s="370"/>
    </row>
    <row r="1097" spans="6:31" ht="20.25"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0.25" customHeight="1">
      <c r="K1098" s="358" t="s">
        <v>2055</v>
      </c>
      <c r="M1098" s="252">
        <v>2</v>
      </c>
      <c r="N1098" s="252" t="s">
        <v>868</v>
      </c>
      <c r="O1098" s="296" t="s">
        <v>1467</v>
      </c>
      <c r="P1098" s="252">
        <f t="shared" si="152"/>
        <v>7.3</v>
      </c>
      <c r="Q1098" s="296" t="s">
        <v>868</v>
      </c>
      <c r="R1098" s="252">
        <f t="shared" si="151"/>
        <v>14.6</v>
      </c>
      <c r="W1098" s="253"/>
      <c r="AE1098" s="370"/>
    </row>
    <row r="1099" spans="6:31" ht="20.25"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0.25" customHeight="1">
      <c r="H1100" s="296" t="s">
        <v>1994</v>
      </c>
      <c r="M1100" s="252">
        <v>10</v>
      </c>
      <c r="O1100" s="296" t="s">
        <v>1742</v>
      </c>
      <c r="P1100" s="252">
        <f>P1074</f>
        <v>2.41</v>
      </c>
      <c r="Q1100" s="296"/>
      <c r="R1100" s="252">
        <f t="shared" si="151"/>
        <v>24.1</v>
      </c>
      <c r="W1100" s="253"/>
      <c r="AE1100" s="370"/>
    </row>
    <row r="1101" spans="6:31" ht="20.25" customHeight="1">
      <c r="H1101" s="358" t="s">
        <v>1586</v>
      </c>
      <c r="O1101" s="296" t="s">
        <v>2153</v>
      </c>
      <c r="Q1101" s="296"/>
      <c r="R1101" s="252">
        <f>SUM(R1089:R1100)+0.31</f>
        <v>17217.009999999998</v>
      </c>
      <c r="W1101" s="253"/>
      <c r="AE1101" s="370"/>
    </row>
    <row r="1102" spans="6:31" ht="20.25"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0.25"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0.25" customHeight="1">
      <c r="F1104" s="447">
        <v>0.4</v>
      </c>
      <c r="G1104" s="252" t="s">
        <v>609</v>
      </c>
      <c r="H1104" s="296" t="s">
        <v>2092</v>
      </c>
      <c r="I1104" s="252">
        <f>D32</f>
        <v>1197</v>
      </c>
      <c r="J1104" s="296" t="s">
        <v>609</v>
      </c>
      <c r="K1104" s="252">
        <f t="shared" si="153"/>
        <v>478.8</v>
      </c>
      <c r="Q1104" s="296"/>
      <c r="R1104" s="358" t="s">
        <v>2055</v>
      </c>
      <c r="W1104" s="253"/>
      <c r="AE1104" s="370"/>
    </row>
    <row r="1105" spans="6:31" ht="20.25" customHeight="1">
      <c r="F1105" s="252">
        <v>2</v>
      </c>
      <c r="G1105" s="252" t="s">
        <v>1995</v>
      </c>
      <c r="H1105" s="296" t="s">
        <v>1996</v>
      </c>
      <c r="I1105" s="252">
        <f>C305</f>
        <v>8.5</v>
      </c>
      <c r="J1105" s="296" t="s">
        <v>1995</v>
      </c>
      <c r="K1105" s="252">
        <f t="shared" si="153"/>
        <v>17</v>
      </c>
      <c r="W1105" s="253"/>
      <c r="AE1105" s="370"/>
    </row>
    <row r="1106" spans="6:31" ht="20.25" customHeight="1">
      <c r="F1106" s="252">
        <v>1</v>
      </c>
      <c r="G1106" s="252" t="s">
        <v>868</v>
      </c>
      <c r="H1106" s="296" t="s">
        <v>1997</v>
      </c>
      <c r="I1106" s="252">
        <f>C293</f>
        <v>6.1</v>
      </c>
      <c r="J1106" s="296" t="s">
        <v>868</v>
      </c>
      <c r="K1106" s="252">
        <f t="shared" si="153"/>
        <v>6.1</v>
      </c>
      <c r="W1106" s="253"/>
      <c r="AE1106" s="370"/>
    </row>
    <row r="1107" spans="6:31" ht="20.25" customHeight="1">
      <c r="F1107" s="252">
        <v>1</v>
      </c>
      <c r="G1107" s="252" t="s">
        <v>868</v>
      </c>
      <c r="H1107" s="296" t="s">
        <v>1998</v>
      </c>
      <c r="I1107" s="314">
        <f>C291</f>
        <v>11.8</v>
      </c>
      <c r="J1107" s="296" t="s">
        <v>868</v>
      </c>
      <c r="K1107" s="252">
        <f t="shared" si="153"/>
        <v>11.8</v>
      </c>
      <c r="O1107" s="296" t="s">
        <v>1741</v>
      </c>
      <c r="W1107" s="253"/>
      <c r="AE1107" s="370"/>
    </row>
    <row r="1108" spans="6:31" ht="20.25" customHeight="1">
      <c r="F1108" s="252">
        <v>10</v>
      </c>
      <c r="H1108" s="296" t="s">
        <v>1141</v>
      </c>
      <c r="I1108" s="252">
        <f>I1093</f>
        <v>2.41</v>
      </c>
      <c r="J1108" s="296" t="s">
        <v>868</v>
      </c>
      <c r="K1108" s="252">
        <f t="shared" si="153"/>
        <v>24.1</v>
      </c>
      <c r="W1108" s="253"/>
      <c r="AE1108" s="370"/>
    </row>
    <row r="1109" spans="6:31" ht="20.25" customHeight="1">
      <c r="K1109" s="358" t="s">
        <v>1586</v>
      </c>
      <c r="W1109" s="253"/>
      <c r="AE1109" s="370"/>
    </row>
    <row r="1110" spans="6:31" ht="20.25" customHeight="1">
      <c r="H1110" s="253" t="s">
        <v>34</v>
      </c>
      <c r="K1110" s="252">
        <f>SUM(K1098:K1108)</f>
        <v>1121.94</v>
      </c>
      <c r="W1110" s="253"/>
      <c r="AE1110" s="370"/>
    </row>
    <row r="1111" spans="6:31" ht="20.25"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0.25"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0.25"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0.25"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0.25"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0.25"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0.25" customHeight="1">
      <c r="M1117" s="252">
        <v>4</v>
      </c>
      <c r="N1117" s="252" t="s">
        <v>1873</v>
      </c>
      <c r="O1117" s="252" t="s">
        <v>1348</v>
      </c>
      <c r="P1117" s="252">
        <f t="shared" si="155"/>
        <v>64.8</v>
      </c>
      <c r="Q1117" s="296" t="s">
        <v>1398</v>
      </c>
      <c r="R1117" s="252">
        <f t="shared" si="154"/>
        <v>259.2</v>
      </c>
      <c r="W1117" s="253"/>
      <c r="AE1117" s="370"/>
    </row>
    <row r="1118" spans="6:31" ht="20.25" customHeight="1">
      <c r="H1118" s="296" t="s">
        <v>2000</v>
      </c>
      <c r="M1118" s="252">
        <v>1</v>
      </c>
      <c r="N1118" s="252" t="s">
        <v>1873</v>
      </c>
      <c r="O1118" s="252" t="s">
        <v>1349</v>
      </c>
      <c r="P1118" s="252">
        <f t="shared" si="155"/>
        <v>181</v>
      </c>
      <c r="Q1118" s="296" t="s">
        <v>1398</v>
      </c>
      <c r="R1118" s="252">
        <f t="shared" si="154"/>
        <v>181</v>
      </c>
      <c r="W1118" s="253"/>
      <c r="AE1118" s="370"/>
    </row>
    <row r="1119" spans="6:31" ht="20.25" customHeight="1">
      <c r="H1119" s="296" t="s">
        <v>2001</v>
      </c>
      <c r="M1119" s="252">
        <v>2</v>
      </c>
      <c r="N1119" s="252" t="s">
        <v>1873</v>
      </c>
      <c r="O1119" s="252" t="s">
        <v>1980</v>
      </c>
      <c r="P1119" s="252">
        <f t="shared" si="155"/>
        <v>7.3</v>
      </c>
      <c r="Q1119" s="296" t="s">
        <v>1398</v>
      </c>
      <c r="R1119" s="252">
        <f t="shared" si="154"/>
        <v>14.6</v>
      </c>
      <c r="W1119" s="253"/>
      <c r="AE1119" s="370"/>
    </row>
    <row r="1120" spans="6:31" ht="20.25" customHeight="1">
      <c r="H1120" s="296" t="s">
        <v>454</v>
      </c>
      <c r="M1120" s="252">
        <v>2</v>
      </c>
      <c r="N1120" s="252" t="s">
        <v>1873</v>
      </c>
      <c r="O1120" s="252" t="s">
        <v>1982</v>
      </c>
      <c r="P1120" s="252">
        <f t="shared" si="155"/>
        <v>49.55</v>
      </c>
      <c r="Q1120" s="296" t="s">
        <v>1398</v>
      </c>
      <c r="R1120" s="252">
        <f t="shared" si="154"/>
        <v>99.1</v>
      </c>
      <c r="W1120" s="253"/>
      <c r="AE1120" s="370"/>
    </row>
    <row r="1121" spans="6:62" ht="20.25" customHeight="1">
      <c r="H1121" s="296" t="s">
        <v>455</v>
      </c>
      <c r="M1121" s="252">
        <v>118</v>
      </c>
      <c r="O1121" s="296" t="s">
        <v>1742</v>
      </c>
      <c r="P1121" s="252">
        <f>P1100</f>
        <v>2.41</v>
      </c>
      <c r="Q1121" s="296"/>
      <c r="R1121" s="252">
        <f t="shared" si="154"/>
        <v>284.38</v>
      </c>
      <c r="W1121" s="253"/>
      <c r="AE1121" s="370"/>
    </row>
    <row r="1122" spans="6:62" ht="20.25" customHeight="1">
      <c r="H1122" s="296" t="s">
        <v>456</v>
      </c>
      <c r="N1122" s="274"/>
      <c r="O1122" s="274" t="s">
        <v>552</v>
      </c>
      <c r="Q1122" s="296"/>
      <c r="R1122" s="274">
        <f>SUM(R1111:R1121)</f>
        <v>14980.32</v>
      </c>
      <c r="W1122" s="253"/>
      <c r="AE1122" s="370"/>
    </row>
    <row r="1123" spans="6:62" ht="20.25" customHeight="1">
      <c r="J1123" s="296" t="s">
        <v>975</v>
      </c>
      <c r="K1123" s="400">
        <v>3.32E-2</v>
      </c>
      <c r="N1123" s="274"/>
      <c r="O1123" s="274"/>
      <c r="Q1123" s="296"/>
      <c r="R1123" s="377" t="s">
        <v>146</v>
      </c>
      <c r="W1123" s="253"/>
      <c r="AE1123" s="370"/>
      <c r="BJ1123" s="252" t="s">
        <v>2030</v>
      </c>
    </row>
    <row r="1124" spans="6:62" ht="20.25" customHeight="1">
      <c r="H1124" s="296" t="s">
        <v>2156</v>
      </c>
      <c r="J1124" s="443" t="s">
        <v>975</v>
      </c>
      <c r="K1124" s="443" t="s">
        <v>975</v>
      </c>
      <c r="N1124" s="274"/>
      <c r="O1124" s="274" t="s">
        <v>2082</v>
      </c>
      <c r="Q1124" s="296"/>
      <c r="R1124" s="274">
        <f>R1122/2.835</f>
        <v>5284.06</v>
      </c>
      <c r="W1124" s="253"/>
      <c r="AE1124" s="370"/>
    </row>
    <row r="1125" spans="6:62" ht="20.25" customHeight="1">
      <c r="H1125" s="296" t="s">
        <v>1830</v>
      </c>
      <c r="K1125" s="443" t="s">
        <v>975</v>
      </c>
      <c r="N1125" s="274"/>
      <c r="Q1125" s="296"/>
      <c r="R1125" s="377" t="s">
        <v>146</v>
      </c>
      <c r="W1125" s="253"/>
      <c r="AE1125" s="370"/>
    </row>
    <row r="1126" spans="6:62" ht="20.25" customHeight="1">
      <c r="W1126" s="253"/>
      <c r="AE1126" s="370"/>
    </row>
    <row r="1127" spans="6:62" ht="20.25" customHeight="1">
      <c r="F1127" s="447">
        <v>1.18E-2</v>
      </c>
      <c r="G1127" s="252" t="s">
        <v>869</v>
      </c>
      <c r="H1127" s="296" t="s">
        <v>692</v>
      </c>
      <c r="I1127" s="252">
        <f>C88</f>
        <v>111600</v>
      </c>
      <c r="J1127" s="296" t="s">
        <v>869</v>
      </c>
      <c r="K1127" s="252">
        <f t="shared" ref="K1127:K1136" si="156">(F1127*I1127)</f>
        <v>1316.88</v>
      </c>
      <c r="W1127" s="253"/>
      <c r="AE1127" s="370"/>
    </row>
    <row r="1128" spans="6:62" ht="20.25" customHeight="1">
      <c r="F1128" s="447">
        <v>3.32E-2</v>
      </c>
      <c r="G1128" s="252" t="s">
        <v>869</v>
      </c>
      <c r="H1128" s="296" t="s">
        <v>693</v>
      </c>
      <c r="I1128" s="252">
        <f>C89</f>
        <v>99400</v>
      </c>
      <c r="J1128" s="296" t="s">
        <v>869</v>
      </c>
      <c r="K1128" s="252">
        <f t="shared" si="156"/>
        <v>3300.08</v>
      </c>
      <c r="W1128" s="253"/>
      <c r="AE1128" s="370"/>
    </row>
    <row r="1129" spans="6:62" ht="20.25" customHeight="1">
      <c r="F1129" s="447">
        <v>1.8550000000000001E-2</v>
      </c>
      <c r="G1129" s="252" t="s">
        <v>869</v>
      </c>
      <c r="H1129" s="296" t="s">
        <v>886</v>
      </c>
      <c r="I1129" s="252">
        <f>C30</f>
        <v>13690</v>
      </c>
      <c r="J1129" s="296" t="s">
        <v>869</v>
      </c>
      <c r="K1129" s="252">
        <f t="shared" si="156"/>
        <v>253.95</v>
      </c>
      <c r="W1129" s="253"/>
      <c r="AE1129" s="370"/>
    </row>
    <row r="1130" spans="6:62" ht="20.25" customHeight="1">
      <c r="F1130" s="447">
        <v>1.46</v>
      </c>
      <c r="G1130" s="252" t="s">
        <v>609</v>
      </c>
      <c r="H1130" s="296" t="s">
        <v>887</v>
      </c>
      <c r="I1130" s="455">
        <v>269.10000000000002</v>
      </c>
      <c r="J1130" s="296" t="s">
        <v>609</v>
      </c>
      <c r="K1130" s="252">
        <f t="shared" si="156"/>
        <v>392.89</v>
      </c>
      <c r="W1130" s="253"/>
      <c r="AE1130" s="370"/>
    </row>
    <row r="1131" spans="6:62" ht="20.25" customHeight="1">
      <c r="F1131" s="447">
        <v>2.0499999999999998</v>
      </c>
      <c r="G1131" s="252" t="s">
        <v>609</v>
      </c>
      <c r="H1131" s="296" t="s">
        <v>1506</v>
      </c>
      <c r="I1131" s="252">
        <f>D30</f>
        <v>1281</v>
      </c>
      <c r="J1131" s="296" t="s">
        <v>609</v>
      </c>
      <c r="K1131" s="252">
        <f t="shared" si="156"/>
        <v>2626.05</v>
      </c>
      <c r="W1131" s="253"/>
      <c r="AE1131" s="370"/>
    </row>
    <row r="1132" spans="6:62" ht="20.25" customHeight="1">
      <c r="F1132" s="252">
        <v>2</v>
      </c>
      <c r="G1132" s="252" t="s">
        <v>868</v>
      </c>
      <c r="H1132" s="296" t="s">
        <v>1507</v>
      </c>
      <c r="I1132" s="252">
        <f>C285</f>
        <v>39.700000000000003</v>
      </c>
      <c r="J1132" s="296" t="s">
        <v>868</v>
      </c>
      <c r="K1132" s="252">
        <f t="shared" si="156"/>
        <v>79.400000000000006</v>
      </c>
      <c r="W1132" s="253"/>
      <c r="AE1132" s="370"/>
    </row>
    <row r="1133" spans="6:62" ht="20.25" customHeight="1">
      <c r="F1133" s="252">
        <v>6</v>
      </c>
      <c r="G1133" s="252" t="s">
        <v>868</v>
      </c>
      <c r="H1133" s="296" t="s">
        <v>1343</v>
      </c>
      <c r="I1133" s="252">
        <f>C282</f>
        <v>49.35</v>
      </c>
      <c r="J1133" s="296" t="s">
        <v>868</v>
      </c>
      <c r="K1133" s="252">
        <f t="shared" si="156"/>
        <v>296.10000000000002</v>
      </c>
      <c r="W1133" s="253"/>
      <c r="AE1133" s="370"/>
    </row>
    <row r="1134" spans="6:62" ht="20.25" customHeight="1">
      <c r="F1134" s="252">
        <v>2</v>
      </c>
      <c r="G1134" s="252" t="s">
        <v>868</v>
      </c>
      <c r="H1134" s="296" t="s">
        <v>5306</v>
      </c>
      <c r="I1134" s="362">
        <v>60.9</v>
      </c>
      <c r="J1134" s="296" t="s">
        <v>868</v>
      </c>
      <c r="K1134" s="252">
        <f t="shared" si="156"/>
        <v>121.8</v>
      </c>
      <c r="W1134" s="253"/>
      <c r="AE1134" s="370"/>
    </row>
    <row r="1135" spans="6:62" ht="20.25" customHeight="1">
      <c r="F1135" s="252">
        <v>1</v>
      </c>
      <c r="G1135" s="252" t="s">
        <v>868</v>
      </c>
      <c r="H1135" s="420" t="s">
        <v>4234</v>
      </c>
      <c r="I1135" s="420">
        <v>63.2</v>
      </c>
      <c r="J1135" s="296" t="s">
        <v>868</v>
      </c>
      <c r="K1135" s="252">
        <f t="shared" si="156"/>
        <v>63.2</v>
      </c>
      <c r="W1135" s="253"/>
      <c r="AE1135" s="370"/>
    </row>
    <row r="1136" spans="6:62" ht="20.25" customHeight="1">
      <c r="F1136" s="252">
        <v>2.52</v>
      </c>
      <c r="G1136" s="252" t="s">
        <v>609</v>
      </c>
      <c r="H1136" s="296" t="s">
        <v>1713</v>
      </c>
      <c r="I1136" s="252">
        <f>K1167</f>
        <v>194.22</v>
      </c>
      <c r="J1136" s="296" t="s">
        <v>609</v>
      </c>
      <c r="K1136" s="252">
        <f t="shared" si="156"/>
        <v>489.43</v>
      </c>
      <c r="W1136" s="253"/>
      <c r="AE1136" s="370"/>
    </row>
    <row r="1137" spans="6:31" ht="20.25" customHeight="1">
      <c r="H1137" s="296" t="s">
        <v>1414</v>
      </c>
      <c r="I1137" s="253" t="s">
        <v>449</v>
      </c>
      <c r="K1137" s="252">
        <v>0.21</v>
      </c>
      <c r="W1137" s="253"/>
      <c r="AE1137" s="370"/>
    </row>
    <row r="1138" spans="6:31" ht="20.25" customHeight="1">
      <c r="K1138" s="358" t="s">
        <v>1586</v>
      </c>
      <c r="W1138" s="253"/>
      <c r="AE1138" s="370"/>
    </row>
    <row r="1139" spans="6:31" ht="20.25" customHeight="1">
      <c r="H1139" s="253" t="s">
        <v>1415</v>
      </c>
      <c r="K1139" s="252">
        <f>SUM(K1127:K1137)</f>
        <v>8939.99</v>
      </c>
      <c r="M1139" s="274" t="s">
        <v>3581</v>
      </c>
      <c r="N1139" s="274"/>
      <c r="O1139" s="274"/>
      <c r="P1139" s="274"/>
      <c r="Q1139" s="274"/>
      <c r="R1139" s="274"/>
      <c r="S1139" s="274"/>
      <c r="W1139" s="253"/>
      <c r="AE1139" s="370"/>
    </row>
    <row r="1140" spans="6:31" ht="20.25" customHeight="1">
      <c r="G1140" s="252" t="s">
        <v>975</v>
      </c>
      <c r="K1140" s="358" t="s">
        <v>1586</v>
      </c>
      <c r="O1140" s="358" t="s">
        <v>1586</v>
      </c>
      <c r="Q1140" s="296"/>
      <c r="W1140" s="253"/>
      <c r="AE1140" s="370"/>
    </row>
    <row r="1141" spans="6:31" ht="20.25" customHeight="1">
      <c r="H1141" s="255" t="s">
        <v>552</v>
      </c>
      <c r="K1141" s="274">
        <f>K1139/2.52</f>
        <v>3547.62</v>
      </c>
      <c r="N1141" s="356">
        <v>0.45300000000000001</v>
      </c>
      <c r="O1141" s="296" t="s">
        <v>1411</v>
      </c>
      <c r="P1141" s="252">
        <f>C73</f>
        <v>1807.94</v>
      </c>
      <c r="Q1141" s="296" t="s">
        <v>869</v>
      </c>
      <c r="R1141" s="252">
        <f>P1141*N1141</f>
        <v>819</v>
      </c>
      <c r="W1141" s="253"/>
      <c r="AE1141" s="370"/>
    </row>
    <row r="1142" spans="6:31" ht="20.25" customHeight="1">
      <c r="K1142" s="358" t="s">
        <v>2055</v>
      </c>
      <c r="N1142" s="356">
        <v>0.30199999999999999</v>
      </c>
      <c r="O1142" s="296" t="s">
        <v>3582</v>
      </c>
      <c r="P1142" s="252">
        <f>C71</f>
        <v>1334.94</v>
      </c>
      <c r="Q1142" s="296" t="str">
        <f>Q1141</f>
        <v>CUM</v>
      </c>
      <c r="R1142" s="252">
        <f t="shared" ref="R1142:R1147" si="157">P1142*N1142</f>
        <v>403.15</v>
      </c>
      <c r="W1142" s="253"/>
      <c r="AE1142" s="370"/>
    </row>
    <row r="1143" spans="6:31" ht="20.25" customHeight="1">
      <c r="G1143" s="252" t="s">
        <v>2251</v>
      </c>
      <c r="H1143" s="296" t="s">
        <v>182</v>
      </c>
      <c r="N1143" s="252">
        <v>0.44</v>
      </c>
      <c r="O1143" s="296" t="s">
        <v>870</v>
      </c>
      <c r="P1143" s="252">
        <f>C78</f>
        <v>1741.58</v>
      </c>
      <c r="Q1143" s="296" t="s">
        <v>869</v>
      </c>
      <c r="R1143" s="252">
        <f t="shared" si="157"/>
        <v>766.3</v>
      </c>
      <c r="W1143" s="253"/>
      <c r="AE1143" s="370"/>
    </row>
    <row r="1144" spans="6:31" ht="20.25" customHeight="1">
      <c r="H1144" s="358" t="s">
        <v>1586</v>
      </c>
      <c r="I1144" s="358" t="s">
        <v>1586</v>
      </c>
      <c r="N1144" s="252">
        <v>0.37</v>
      </c>
      <c r="O1144" s="296" t="s">
        <v>390</v>
      </c>
      <c r="P1144" s="252">
        <f>I808</f>
        <v>6040</v>
      </c>
      <c r="Q1144" s="296" t="s">
        <v>528</v>
      </c>
      <c r="R1144" s="252">
        <f t="shared" si="157"/>
        <v>2234.8000000000002</v>
      </c>
      <c r="W1144" s="253"/>
      <c r="AE1144" s="370"/>
    </row>
    <row r="1145" spans="6:31" ht="20.25"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0.25"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0.25"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0.25" customHeight="1">
      <c r="H1148" s="296"/>
      <c r="O1148" s="296" t="s">
        <v>44</v>
      </c>
      <c r="Q1148" s="296"/>
      <c r="R1148" s="407">
        <f>K819</f>
        <v>94.2</v>
      </c>
      <c r="W1148" s="253"/>
      <c r="AE1148" s="370"/>
    </row>
    <row r="1149" spans="6:31" ht="20.25"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20.25" customHeight="1">
      <c r="G1150" s="252" t="s">
        <v>449</v>
      </c>
      <c r="H1150" s="296" t="s">
        <v>1181</v>
      </c>
      <c r="J1150" s="296" t="s">
        <v>449</v>
      </c>
      <c r="K1150" s="252">
        <v>1.5</v>
      </c>
      <c r="M1150" s="429" t="s">
        <v>657</v>
      </c>
      <c r="O1150" s="252" t="s">
        <v>3467</v>
      </c>
      <c r="P1150" s="407">
        <f>V1135</f>
        <v>0</v>
      </c>
      <c r="R1150" s="252">
        <v>150</v>
      </c>
      <c r="W1150" s="253"/>
      <c r="AE1150" s="370"/>
    </row>
    <row r="1151" spans="6:31" ht="20.25" customHeight="1">
      <c r="K1151" s="358" t="s">
        <v>1586</v>
      </c>
      <c r="M1151" s="429" t="s">
        <v>657</v>
      </c>
      <c r="O1151" s="252" t="s">
        <v>2271</v>
      </c>
      <c r="P1151" s="407">
        <f>V1136</f>
        <v>0</v>
      </c>
      <c r="R1151" s="252">
        <v>0.35</v>
      </c>
      <c r="W1151" s="253"/>
      <c r="AE1151" s="370"/>
    </row>
    <row r="1152" spans="6:31" ht="20.25" customHeight="1">
      <c r="H1152" s="253" t="s">
        <v>1440</v>
      </c>
      <c r="K1152" s="252">
        <f>SUM(K1145:K1150)</f>
        <v>1239.17</v>
      </c>
      <c r="Q1152" s="296"/>
      <c r="R1152" s="252">
        <f>SUM(R1141:R1151)</f>
        <v>8329.14</v>
      </c>
      <c r="W1152" s="253"/>
      <c r="AE1152" s="370"/>
    </row>
    <row r="1153" spans="6:31" ht="20.25" customHeight="1">
      <c r="K1153" s="358" t="s">
        <v>1586</v>
      </c>
      <c r="W1153" s="253"/>
      <c r="X1153" s="274">
        <f>SUM(X1141:X1152)</f>
        <v>0</v>
      </c>
      <c r="AE1153" s="370"/>
    </row>
    <row r="1154" spans="6:31" ht="20.25" customHeight="1">
      <c r="H1154" s="255" t="s">
        <v>552</v>
      </c>
      <c r="K1154" s="274">
        <f>(K1152/10)</f>
        <v>123.92</v>
      </c>
      <c r="W1154" s="253"/>
      <c r="AE1154" s="370"/>
    </row>
    <row r="1155" spans="6:31" ht="20.25" customHeight="1">
      <c r="K1155" s="358" t="s">
        <v>2055</v>
      </c>
      <c r="Q1155" s="296"/>
      <c r="R1155" s="407"/>
      <c r="W1155" s="253"/>
      <c r="AE1155" s="370"/>
    </row>
    <row r="1156" spans="6:31" ht="20.25" customHeight="1">
      <c r="O1156" s="252" t="s">
        <v>3583</v>
      </c>
      <c r="Q1156" s="296"/>
      <c r="R1156" s="252">
        <f>SUM(R1152:R1155)</f>
        <v>8329.14</v>
      </c>
      <c r="W1156" s="253"/>
      <c r="AE1156" s="370"/>
    </row>
    <row r="1157" spans="6:31" ht="20.25" customHeight="1">
      <c r="F1157" s="296" t="s">
        <v>975</v>
      </c>
      <c r="G1157" s="252" t="s">
        <v>2251</v>
      </c>
      <c r="H1157" s="296" t="s">
        <v>1441</v>
      </c>
      <c r="Q1157" s="296"/>
      <c r="R1157" s="358" t="s">
        <v>1586</v>
      </c>
      <c r="W1157" s="253"/>
      <c r="AE1157" s="370"/>
    </row>
    <row r="1158" spans="6:31" ht="20.25" customHeight="1">
      <c r="H1158" s="358" t="s">
        <v>1586</v>
      </c>
      <c r="I1158" s="358" t="s">
        <v>1586</v>
      </c>
      <c r="O1158" s="296" t="s">
        <v>386</v>
      </c>
      <c r="Q1158" s="296"/>
      <c r="R1158" s="274">
        <f>R1156+C22</f>
        <v>8448.99</v>
      </c>
      <c r="S1158" s="356">
        <f>C22</f>
        <v>119.85</v>
      </c>
      <c r="T1158" s="356">
        <f>C23</f>
        <v>236.1</v>
      </c>
      <c r="W1158" s="253"/>
      <c r="AE1158" s="370"/>
    </row>
    <row r="1159" spans="6:31" ht="20.25" customHeight="1">
      <c r="F1159" s="252">
        <v>1.2</v>
      </c>
      <c r="G1159" s="252" t="s">
        <v>183</v>
      </c>
      <c r="H1159" s="296" t="s">
        <v>5307</v>
      </c>
      <c r="I1159" s="252">
        <f>C194</f>
        <v>271.2</v>
      </c>
      <c r="J1159" s="296" t="s">
        <v>183</v>
      </c>
      <c r="K1159" s="252">
        <f>(F1159*I1159)</f>
        <v>325.44</v>
      </c>
      <c r="O1159" s="296" t="s">
        <v>388</v>
      </c>
      <c r="Q1159" s="296"/>
      <c r="R1159" s="274">
        <f>R1158+C23</f>
        <v>8685.09</v>
      </c>
      <c r="S1159" s="356">
        <f>R1156-5363.9</f>
        <v>2965.24</v>
      </c>
      <c r="W1159" s="253"/>
      <c r="AE1159" s="370"/>
    </row>
    <row r="1160" spans="6:31" ht="20.25" customHeight="1">
      <c r="F1160" s="252">
        <v>0.9</v>
      </c>
      <c r="G1160" s="252" t="s">
        <v>183</v>
      </c>
      <c r="H1160" s="296" t="s">
        <v>185</v>
      </c>
      <c r="I1160" s="252">
        <f>C193</f>
        <v>25</v>
      </c>
      <c r="J1160" s="296" t="s">
        <v>183</v>
      </c>
      <c r="K1160" s="252">
        <f>(F1160*I1160)</f>
        <v>22.5</v>
      </c>
      <c r="O1160" s="296" t="s">
        <v>2232</v>
      </c>
      <c r="Q1160" s="296"/>
      <c r="R1160" s="274">
        <f>R1159+C23</f>
        <v>8921.19</v>
      </c>
      <c r="W1160" s="253"/>
      <c r="AE1160" s="370"/>
    </row>
    <row r="1161" spans="6:31" ht="20.25" customHeight="1">
      <c r="F1161" s="252">
        <v>1.1000000000000001</v>
      </c>
      <c r="G1161" s="252" t="s">
        <v>560</v>
      </c>
      <c r="H1161" s="296" t="s">
        <v>1514</v>
      </c>
      <c r="I1161" s="252">
        <f>C14</f>
        <v>797</v>
      </c>
      <c r="J1161" s="296" t="s">
        <v>1716</v>
      </c>
      <c r="K1161" s="252">
        <f>(F1161*I1161)</f>
        <v>876.7</v>
      </c>
      <c r="O1161" s="296" t="s">
        <v>380</v>
      </c>
      <c r="Q1161" s="296"/>
      <c r="R1161" s="274">
        <f>R1160+C23</f>
        <v>9157.2900000000009</v>
      </c>
      <c r="W1161" s="253"/>
      <c r="AE1161" s="370"/>
    </row>
    <row r="1162" spans="6:31" ht="20.25" customHeight="1">
      <c r="F1162" s="252">
        <v>1.1000000000000001</v>
      </c>
      <c r="G1162" s="252" t="s">
        <v>560</v>
      </c>
      <c r="H1162" s="296" t="s">
        <v>878</v>
      </c>
      <c r="I1162" s="252">
        <f>C12</f>
        <v>651</v>
      </c>
      <c r="J1162" s="296" t="s">
        <v>1716</v>
      </c>
      <c r="K1162" s="252">
        <f>(F1162*I1162)</f>
        <v>716.1</v>
      </c>
      <c r="O1162" s="296" t="s">
        <v>1532</v>
      </c>
      <c r="Q1162" s="296"/>
      <c r="R1162" s="274">
        <f>R1161+C23</f>
        <v>9393.39</v>
      </c>
      <c r="W1162" s="253"/>
      <c r="AE1162" s="370"/>
    </row>
    <row r="1163" spans="6:31" ht="20.25" customHeight="1">
      <c r="G1163" s="252" t="s">
        <v>449</v>
      </c>
      <c r="H1163" s="296" t="s">
        <v>1181</v>
      </c>
      <c r="J1163" s="296" t="s">
        <v>449</v>
      </c>
      <c r="K1163" s="252">
        <v>1.5</v>
      </c>
      <c r="O1163" s="296" t="s">
        <v>3562</v>
      </c>
      <c r="R1163" s="274">
        <f>R1162+C23</f>
        <v>9629.49</v>
      </c>
      <c r="W1163" s="253"/>
      <c r="AE1163" s="370"/>
    </row>
    <row r="1164" spans="6:31" ht="20.25" customHeight="1">
      <c r="K1164" s="358" t="s">
        <v>1586</v>
      </c>
      <c r="O1164" s="296" t="s">
        <v>3563</v>
      </c>
      <c r="R1164" s="274">
        <f>R1163+C23</f>
        <v>9865.59</v>
      </c>
      <c r="W1164" s="253"/>
      <c r="AE1164" s="370"/>
    </row>
    <row r="1165" spans="6:31" ht="20.25" customHeight="1">
      <c r="H1165" s="253" t="s">
        <v>1440</v>
      </c>
      <c r="K1165" s="252">
        <f>SUM(K1159:K1163)</f>
        <v>1942.24</v>
      </c>
      <c r="O1165" s="296" t="s">
        <v>3564</v>
      </c>
      <c r="R1165" s="274">
        <f>R1164+C23</f>
        <v>10101.69</v>
      </c>
      <c r="W1165" s="253"/>
      <c r="AE1165" s="370"/>
    </row>
    <row r="1166" spans="6:31" ht="20.25" customHeight="1">
      <c r="K1166" s="358" t="s">
        <v>1586</v>
      </c>
      <c r="O1166" s="296" t="s">
        <v>3565</v>
      </c>
      <c r="R1166" s="274">
        <f>R1165+C23</f>
        <v>10337.790000000001</v>
      </c>
      <c r="W1166" s="253"/>
      <c r="AE1166" s="370"/>
    </row>
    <row r="1167" spans="6:31" ht="20.25" customHeight="1">
      <c r="H1167" s="255" t="s">
        <v>552</v>
      </c>
      <c r="K1167" s="274">
        <f>(K1165/10)</f>
        <v>194.22</v>
      </c>
      <c r="O1167" s="296" t="s">
        <v>3584</v>
      </c>
      <c r="R1167" s="274">
        <f>R1166+C23</f>
        <v>10573.89</v>
      </c>
      <c r="W1167" s="253"/>
      <c r="AE1167" s="370"/>
    </row>
    <row r="1168" spans="6:31" ht="20.25" customHeight="1">
      <c r="K1168" s="358" t="s">
        <v>2055</v>
      </c>
      <c r="O1168" s="252" t="s">
        <v>3585</v>
      </c>
      <c r="R1168" s="274">
        <f>R1167+C23</f>
        <v>10809.99</v>
      </c>
      <c r="W1168" s="253"/>
      <c r="AE1168" s="370"/>
    </row>
    <row r="1169" spans="6:33" ht="20.25" customHeight="1">
      <c r="R1169" s="274">
        <f>R1168+C23</f>
        <v>11046.09</v>
      </c>
      <c r="W1169" s="253"/>
      <c r="AE1169" s="370"/>
    </row>
    <row r="1170" spans="6:33" ht="20.25" customHeight="1">
      <c r="F1170" s="375">
        <v>23.3</v>
      </c>
      <c r="H1170" s="314" t="s">
        <v>2287</v>
      </c>
      <c r="I1170" s="314" t="s">
        <v>4224</v>
      </c>
      <c r="K1170" s="456">
        <v>52</v>
      </c>
      <c r="R1170" s="274">
        <f>R1169+C23</f>
        <v>11282.19</v>
      </c>
      <c r="S1170" s="252"/>
      <c r="W1170" s="253"/>
      <c r="AE1170" s="370"/>
    </row>
    <row r="1171" spans="6:33" ht="20.25" customHeight="1">
      <c r="M1171" s="356"/>
      <c r="O1171" s="274" t="s">
        <v>3468</v>
      </c>
      <c r="R1171" s="274">
        <f>R1170+C23</f>
        <v>11518.29</v>
      </c>
      <c r="S1171" s="252"/>
      <c r="W1171" s="253"/>
      <c r="AE1171" s="370"/>
    </row>
    <row r="1172" spans="6:33" ht="20.25" customHeight="1">
      <c r="M1172" s="356">
        <v>0.443</v>
      </c>
      <c r="N1172" s="252" t="s">
        <v>1341</v>
      </c>
      <c r="O1172" s="252" t="s">
        <v>3461</v>
      </c>
      <c r="P1172" s="252">
        <f t="shared" ref="P1172:P1178" si="158">P1141</f>
        <v>1807.94</v>
      </c>
      <c r="R1172" s="252">
        <f>P1172*M1172</f>
        <v>800.92</v>
      </c>
      <c r="S1172" s="252"/>
      <c r="W1172" s="253"/>
      <c r="AE1172" s="370"/>
    </row>
    <row r="1173" spans="6:33" ht="20.25" customHeight="1">
      <c r="F1173" s="253" t="s">
        <v>1442</v>
      </c>
      <c r="G1173" s="252" t="s">
        <v>2251</v>
      </c>
      <c r="H1173" s="296" t="s">
        <v>6102</v>
      </c>
      <c r="M1173" s="356">
        <v>0.29499999999999998</v>
      </c>
      <c r="N1173" s="252" t="s">
        <v>1341</v>
      </c>
      <c r="O1173" s="252" t="s">
        <v>3462</v>
      </c>
      <c r="P1173" s="252">
        <f t="shared" si="158"/>
        <v>1334.94</v>
      </c>
      <c r="R1173" s="252">
        <f t="shared" ref="R1173:R1179" si="159">P1173*M1173</f>
        <v>393.81</v>
      </c>
      <c r="S1173" s="252"/>
      <c r="W1173" s="253"/>
      <c r="AE1173" s="370"/>
    </row>
    <row r="1174" spans="6:33" ht="20.25" customHeight="1">
      <c r="H1174" s="296" t="s">
        <v>1443</v>
      </c>
      <c r="M1174" s="356">
        <v>0.43</v>
      </c>
      <c r="N1174" s="252" t="s">
        <v>1341</v>
      </c>
      <c r="O1174" s="252" t="s">
        <v>1065</v>
      </c>
      <c r="P1174" s="252">
        <f t="shared" si="158"/>
        <v>1741.58</v>
      </c>
      <c r="R1174" s="252">
        <f t="shared" si="159"/>
        <v>748.88</v>
      </c>
      <c r="S1174" s="252"/>
      <c r="W1174" s="253"/>
      <c r="AE1174" s="370"/>
    </row>
    <row r="1175" spans="6:33" ht="20.25"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0.25" customHeight="1">
      <c r="F1176" s="316">
        <v>0.53339999999999999</v>
      </c>
      <c r="G1176" s="252" t="s">
        <v>2283</v>
      </c>
      <c r="H1176" s="393" t="s">
        <v>6377</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0.25" customHeight="1">
      <c r="F1177" s="252">
        <v>4.24</v>
      </c>
      <c r="G1177" s="252" t="s">
        <v>826</v>
      </c>
      <c r="H1177" s="457" t="s">
        <v>4225</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0.25" customHeight="1">
      <c r="F1178" s="252">
        <v>16</v>
      </c>
      <c r="G1178" s="252" t="s">
        <v>560</v>
      </c>
      <c r="H1178" s="457" t="s">
        <v>4226</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0.25"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0.25" customHeight="1">
      <c r="G1180" s="252" t="s">
        <v>449</v>
      </c>
      <c r="H1180" s="296" t="s">
        <v>2271</v>
      </c>
      <c r="J1180" s="296" t="s">
        <v>449</v>
      </c>
      <c r="M1180" s="429" t="s">
        <v>657</v>
      </c>
      <c r="O1180" s="252" t="s">
        <v>3466</v>
      </c>
      <c r="P1180" s="429" t="s">
        <v>657</v>
      </c>
      <c r="R1180" s="252">
        <v>270</v>
      </c>
      <c r="S1180" s="252"/>
      <c r="W1180" s="253"/>
      <c r="AE1180" s="370"/>
    </row>
    <row r="1181" spans="6:33" ht="20.25" customHeight="1">
      <c r="H1181" s="296" t="s">
        <v>2272</v>
      </c>
      <c r="M1181" s="429" t="s">
        <v>657</v>
      </c>
      <c r="O1181" s="252" t="s">
        <v>3467</v>
      </c>
      <c r="P1181" s="429" t="s">
        <v>657</v>
      </c>
      <c r="R1181" s="252">
        <v>150</v>
      </c>
      <c r="S1181" s="252"/>
      <c r="W1181" s="253"/>
      <c r="AE1181" s="370"/>
    </row>
    <row r="1182" spans="6:33" ht="20.25"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0.25" customHeight="1">
      <c r="H1183" s="253" t="s">
        <v>1694</v>
      </c>
      <c r="K1183" s="252">
        <f>SUM(K1176:K1180)</f>
        <v>445.77</v>
      </c>
      <c r="M1183" s="356"/>
      <c r="O1183" s="252" t="s">
        <v>3588</v>
      </c>
      <c r="R1183" s="274">
        <f>SUM(R1172:R1182)</f>
        <v>8405.2000000000007</v>
      </c>
      <c r="S1183" s="252"/>
      <c r="W1183" s="253"/>
      <c r="AE1183" s="370"/>
      <c r="AG1183" s="296" t="s">
        <v>2259</v>
      </c>
    </row>
    <row r="1184" spans="6:33" ht="20.25" customHeight="1">
      <c r="K1184" s="358" t="s">
        <v>1586</v>
      </c>
      <c r="M1184" s="356"/>
      <c r="O1184" s="252" t="s">
        <v>386</v>
      </c>
      <c r="R1184" s="252">
        <f>R1183+C22</f>
        <v>8525.0499999999993</v>
      </c>
      <c r="W1184" s="253"/>
      <c r="AE1184" s="370"/>
      <c r="AG1184" s="296" t="s">
        <v>2259</v>
      </c>
    </row>
    <row r="1185" spans="6:37" ht="20.25" customHeight="1">
      <c r="H1185" s="253" t="s">
        <v>1695</v>
      </c>
      <c r="K1185" s="274">
        <f>ROUND(K1183/0.5334,1)</f>
        <v>835.7</v>
      </c>
      <c r="R1185" s="252">
        <f>R1184+C23</f>
        <v>8761.15</v>
      </c>
      <c r="W1185" s="253"/>
      <c r="AE1185" s="370"/>
      <c r="AG1185" s="296" t="s">
        <v>2259</v>
      </c>
    </row>
    <row r="1186" spans="6:37" ht="20.25" customHeight="1">
      <c r="F1186" s="296" t="s">
        <v>975</v>
      </c>
      <c r="K1186" s="358" t="s">
        <v>2055</v>
      </c>
      <c r="R1186" s="252">
        <f>R1185+C23</f>
        <v>8997.25</v>
      </c>
      <c r="W1186" s="253"/>
      <c r="Y1186" s="375">
        <v>15.1</v>
      </c>
      <c r="Z1186" s="252" t="s">
        <v>1757</v>
      </c>
      <c r="AA1186" s="276" t="s">
        <v>4243</v>
      </c>
      <c r="AC1186" s="253"/>
      <c r="AE1186" s="370"/>
      <c r="AF1186" s="375">
        <v>15.1</v>
      </c>
      <c r="AG1186" s="252" t="s">
        <v>1757</v>
      </c>
      <c r="AH1186" s="458" t="s">
        <v>4242</v>
      </c>
      <c r="AJ1186" s="253"/>
    </row>
    <row r="1187" spans="6:37" ht="20.25" customHeight="1">
      <c r="F1187" s="296" t="s">
        <v>975</v>
      </c>
      <c r="G1187" s="252" t="s">
        <v>975</v>
      </c>
      <c r="H1187" s="296" t="s">
        <v>975</v>
      </c>
      <c r="W1187" s="253"/>
      <c r="AA1187" s="296" t="s">
        <v>2281</v>
      </c>
      <c r="AC1187" s="253"/>
      <c r="AE1187" s="370"/>
      <c r="AH1187" s="296" t="s">
        <v>2281</v>
      </c>
      <c r="AJ1187" s="253"/>
    </row>
    <row r="1188" spans="6:37" ht="20.25" customHeight="1">
      <c r="F1188" s="253" t="s">
        <v>1798</v>
      </c>
      <c r="G1188" s="252" t="s">
        <v>2251</v>
      </c>
      <c r="H1188" s="296" t="s">
        <v>1492</v>
      </c>
      <c r="W1188" s="253"/>
      <c r="Y1188" s="252">
        <v>10</v>
      </c>
      <c r="Z1188" s="252" t="s">
        <v>2283</v>
      </c>
      <c r="AA1188" s="389" t="s">
        <v>5308</v>
      </c>
      <c r="AB1188" s="362">
        <v>1737</v>
      </c>
      <c r="AC1188" s="253" t="s">
        <v>2283</v>
      </c>
      <c r="AD1188" s="252">
        <f>(Y1188*AB1188)</f>
        <v>17370</v>
      </c>
      <c r="AE1188" s="370" t="str">
        <f>AG1188</f>
        <v>Sqm</v>
      </c>
      <c r="AF1188" s="252">
        <v>10</v>
      </c>
      <c r="AG1188" s="252" t="s">
        <v>2283</v>
      </c>
      <c r="AH1188" s="389" t="s">
        <v>5309</v>
      </c>
      <c r="AI1188" s="362">
        <v>886</v>
      </c>
      <c r="AJ1188" s="253" t="s">
        <v>2283</v>
      </c>
      <c r="AK1188" s="252">
        <f>(AF1188*AI1188)</f>
        <v>8860</v>
      </c>
    </row>
    <row r="1189" spans="6:37" ht="20.25" customHeight="1">
      <c r="H1189" s="296" t="s">
        <v>159</v>
      </c>
      <c r="W1189" s="253"/>
      <c r="Y1189" s="252">
        <v>0.12</v>
      </c>
      <c r="Z1189" s="252" t="s">
        <v>869</v>
      </c>
      <c r="AA1189" s="296" t="s">
        <v>784</v>
      </c>
      <c r="AB1189" s="288">
        <f>P1333</f>
        <v>4756.78</v>
      </c>
      <c r="AC1189" s="253" t="s">
        <v>869</v>
      </c>
      <c r="AD1189" s="252">
        <f>(Y1189*AB1189)</f>
        <v>570.80999999999995</v>
      </c>
      <c r="AE1189" s="370" t="str">
        <f>AG1189</f>
        <v>CUM</v>
      </c>
      <c r="AF1189" s="252">
        <v>0.12</v>
      </c>
      <c r="AG1189" s="252" t="s">
        <v>869</v>
      </c>
      <c r="AH1189" s="296" t="s">
        <v>784</v>
      </c>
      <c r="AI1189" s="362">
        <f>AB1189</f>
        <v>4756.78</v>
      </c>
      <c r="AJ1189" s="253" t="s">
        <v>869</v>
      </c>
      <c r="AK1189" s="252">
        <f>(AF1189*AI1189)</f>
        <v>570.80999999999995</v>
      </c>
    </row>
    <row r="1190" spans="6:37" ht="20.25"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0.25" customHeight="1">
      <c r="F1191" s="252">
        <v>1</v>
      </c>
      <c r="G1191" s="252" t="s">
        <v>1645</v>
      </c>
      <c r="H1191" s="296" t="s">
        <v>5310</v>
      </c>
      <c r="I1191" s="459">
        <f>D660</f>
        <v>69.599999999999994</v>
      </c>
      <c r="J1191" s="296" t="s">
        <v>1645</v>
      </c>
      <c r="K1191" s="274">
        <f>(F1191*I1191)</f>
        <v>69.599999999999994</v>
      </c>
      <c r="W1191" s="253"/>
      <c r="Y1191" s="252">
        <v>1</v>
      </c>
      <c r="Z1191" s="252" t="s">
        <v>560</v>
      </c>
      <c r="AA1191" s="296" t="s">
        <v>4639</v>
      </c>
      <c r="AB1191" s="288">
        <f>P1335</f>
        <v>651</v>
      </c>
      <c r="AC1191" s="253" t="s">
        <v>1398</v>
      </c>
      <c r="AD1191" s="252">
        <f>(Y1191*AB1191)</f>
        <v>651</v>
      </c>
      <c r="AE1191" s="370" t="str">
        <f>AG1191</f>
        <v>No.</v>
      </c>
      <c r="AF1191" s="252">
        <v>1</v>
      </c>
      <c r="AG1191" s="252" t="s">
        <v>560</v>
      </c>
      <c r="AH1191" s="296" t="s">
        <v>4640</v>
      </c>
      <c r="AI1191" s="362">
        <f>AB1191</f>
        <v>651</v>
      </c>
      <c r="AJ1191" s="253" t="s">
        <v>1398</v>
      </c>
      <c r="AK1191" s="252">
        <f>(AF1191*AI1191)</f>
        <v>651</v>
      </c>
    </row>
    <row r="1192" spans="6:37" ht="20.25"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0.25" customHeight="1">
      <c r="F1193" s="253">
        <v>39</v>
      </c>
      <c r="H1193" s="393" t="s">
        <v>5311</v>
      </c>
      <c r="I1193" s="459">
        <f>C660</f>
        <v>70.150000000000006</v>
      </c>
      <c r="J1193" s="296" t="s">
        <v>1645</v>
      </c>
      <c r="K1193" s="460">
        <f>I1193</f>
        <v>70.150000000000006</v>
      </c>
      <c r="W1193" s="253"/>
      <c r="AA1193" s="296" t="s">
        <v>931</v>
      </c>
      <c r="AD1193" s="253"/>
      <c r="AE1193" s="358" t="s">
        <v>1586</v>
      </c>
      <c r="AH1193" s="296" t="s">
        <v>931</v>
      </c>
      <c r="AK1193" s="253"/>
    </row>
    <row r="1194" spans="6:37" ht="20.25" customHeight="1">
      <c r="F1194" s="253" t="s">
        <v>445</v>
      </c>
      <c r="G1194" s="252" t="s">
        <v>2251</v>
      </c>
      <c r="H1194" s="296" t="s">
        <v>4227</v>
      </c>
      <c r="I1194" s="296" t="s">
        <v>975</v>
      </c>
      <c r="J1194" s="296" t="s">
        <v>1716</v>
      </c>
      <c r="K1194" s="456">
        <v>9.6</v>
      </c>
      <c r="W1194" s="253"/>
      <c r="AA1194" s="253" t="s">
        <v>407</v>
      </c>
      <c r="AC1194" s="253"/>
      <c r="AD1194" s="252">
        <f>SUM(AD1188:AD1193)</f>
        <v>19591.14</v>
      </c>
      <c r="AE1194" s="252">
        <f>SUM(AE1188:AE1192)</f>
        <v>0</v>
      </c>
      <c r="AH1194" s="253" t="s">
        <v>407</v>
      </c>
      <c r="AJ1194" s="253"/>
      <c r="AK1194" s="252">
        <f>SUM(AK1188:AK1193)</f>
        <v>11081.14</v>
      </c>
    </row>
    <row r="1195" spans="6:37" ht="20.25" customHeight="1">
      <c r="H1195" s="296" t="s">
        <v>262</v>
      </c>
      <c r="K1195" s="358" t="s">
        <v>2055</v>
      </c>
      <c r="W1195" s="253"/>
      <c r="AC1195" s="253"/>
      <c r="AD1195" s="358" t="s">
        <v>1586</v>
      </c>
      <c r="AE1195" s="358" t="s">
        <v>1586</v>
      </c>
      <c r="AJ1195" s="253"/>
      <c r="AK1195" s="358" t="s">
        <v>1586</v>
      </c>
    </row>
    <row r="1196" spans="6:37" ht="20.25" customHeight="1">
      <c r="W1196" s="253"/>
      <c r="AA1196" s="253" t="s">
        <v>411</v>
      </c>
      <c r="AD1196" s="274">
        <f>AD1194/10</f>
        <v>1959.11</v>
      </c>
      <c r="AH1196" s="253" t="s">
        <v>411</v>
      </c>
      <c r="AK1196" s="274">
        <f>AK1194/10</f>
        <v>1108.1099999999999</v>
      </c>
    </row>
    <row r="1197" spans="6:37" ht="20.25" customHeight="1">
      <c r="F1197" s="253" t="s">
        <v>225</v>
      </c>
      <c r="G1197" s="252" t="s">
        <v>2251</v>
      </c>
      <c r="H1197" s="296" t="s">
        <v>1922</v>
      </c>
      <c r="W1197" s="253"/>
      <c r="AA1197" s="296" t="s">
        <v>386</v>
      </c>
      <c r="AC1197" s="253">
        <f>C22*0.02</f>
        <v>2.4</v>
      </c>
      <c r="AD1197" s="252">
        <f>AD1196+AC1197</f>
        <v>1961.51</v>
      </c>
      <c r="AH1197" s="296" t="s">
        <v>386</v>
      </c>
      <c r="AJ1197" s="253">
        <f>C22*0.01</f>
        <v>1.2</v>
      </c>
      <c r="AK1197" s="252">
        <f>AK1196+AJ1197</f>
        <v>1109.31</v>
      </c>
    </row>
    <row r="1198" spans="6:37" ht="20.25" customHeight="1">
      <c r="H1198" s="296" t="s">
        <v>933</v>
      </c>
      <c r="W1198" s="253"/>
      <c r="AA1198" s="296" t="s">
        <v>388</v>
      </c>
      <c r="AC1198" s="253">
        <f>C23*0.02</f>
        <v>4.72</v>
      </c>
      <c r="AD1198" s="252">
        <f>AD1197+AC1198</f>
        <v>1966.23</v>
      </c>
      <c r="AH1198" s="296" t="s">
        <v>388</v>
      </c>
      <c r="AJ1198" s="253">
        <f>C23*0.01</f>
        <v>2.36</v>
      </c>
      <c r="AK1198" s="252">
        <f>AK1197+AJ1198</f>
        <v>1111.67</v>
      </c>
    </row>
    <row r="1199" spans="6:37" ht="20.25" customHeight="1">
      <c r="H1199" s="358" t="s">
        <v>1586</v>
      </c>
      <c r="W1199" s="253"/>
      <c r="AA1199" s="296" t="s">
        <v>2232</v>
      </c>
      <c r="AC1199" s="253">
        <f t="shared" ref="AC1199:AC1208" si="160">AC1198</f>
        <v>4.72</v>
      </c>
      <c r="AD1199" s="252">
        <f t="shared" ref="AD1199:AD1208" si="161">+AD1198+AC1199</f>
        <v>1970.95</v>
      </c>
      <c r="AH1199" s="296" t="s">
        <v>2232</v>
      </c>
      <c r="AJ1199" s="253">
        <f>C24*0.01</f>
        <v>2.36</v>
      </c>
      <c r="AK1199" s="252">
        <f t="shared" ref="AK1199:AK1206" si="162">+AK1198+AJ1199</f>
        <v>1114.03</v>
      </c>
    </row>
    <row r="1200" spans="6:37" ht="20.25" customHeight="1">
      <c r="F1200" s="252">
        <v>0.22</v>
      </c>
      <c r="G1200" s="252" t="s">
        <v>869</v>
      </c>
      <c r="H1200" s="296" t="s">
        <v>1307</v>
      </c>
      <c r="I1200" s="252">
        <f>K40</f>
        <v>4031.98</v>
      </c>
      <c r="J1200" s="296" t="s">
        <v>869</v>
      </c>
      <c r="K1200" s="252">
        <f>(F1200*I1200)</f>
        <v>887.04</v>
      </c>
      <c r="W1200" s="253"/>
      <c r="AA1200" s="296" t="s">
        <v>380</v>
      </c>
      <c r="AC1200" s="253">
        <f t="shared" si="160"/>
        <v>4.72</v>
      </c>
      <c r="AD1200" s="252">
        <f t="shared" si="161"/>
        <v>1975.67</v>
      </c>
      <c r="AH1200" s="296" t="s">
        <v>380</v>
      </c>
      <c r="AJ1200" s="253">
        <v>1.95</v>
      </c>
      <c r="AK1200" s="252">
        <f t="shared" si="162"/>
        <v>1115.98</v>
      </c>
    </row>
    <row r="1201" spans="6:37" ht="20.25"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1980.39</v>
      </c>
      <c r="AH1201" s="296" t="s">
        <v>1364</v>
      </c>
      <c r="AJ1201" s="253">
        <v>1.95</v>
      </c>
      <c r="AK1201" s="252">
        <f t="shared" si="162"/>
        <v>1117.93</v>
      </c>
    </row>
    <row r="1202" spans="6:37" ht="20.25"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1985.11</v>
      </c>
      <c r="AE1202" s="370">
        <f>AG1202</f>
        <v>0</v>
      </c>
      <c r="AH1202" s="252">
        <v>5</v>
      </c>
      <c r="AJ1202" s="253">
        <f>AC1202</f>
        <v>4.72</v>
      </c>
      <c r="AK1202" s="252">
        <f t="shared" si="162"/>
        <v>1122.6500000000001</v>
      </c>
    </row>
    <row r="1203" spans="6:37" ht="20.25"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1989.83</v>
      </c>
      <c r="AE1203" s="370">
        <f>AG1203</f>
        <v>0</v>
      </c>
      <c r="AH1203" s="252">
        <v>6</v>
      </c>
      <c r="AJ1203" s="253">
        <f>AC1203</f>
        <v>4.72</v>
      </c>
      <c r="AK1203" s="252">
        <f t="shared" si="162"/>
        <v>1127.3699999999999</v>
      </c>
    </row>
    <row r="1204" spans="6:37" ht="20.25" customHeight="1">
      <c r="H1204" s="296"/>
      <c r="W1204" s="253"/>
      <c r="AA1204" s="252">
        <v>7</v>
      </c>
      <c r="AC1204" s="253">
        <f t="shared" si="160"/>
        <v>4.72</v>
      </c>
      <c r="AD1204" s="252">
        <f t="shared" si="161"/>
        <v>1994.55</v>
      </c>
      <c r="AE1204" s="370"/>
      <c r="AH1204" s="252">
        <v>7</v>
      </c>
      <c r="AJ1204" s="253">
        <f>AC1204</f>
        <v>4.72</v>
      </c>
      <c r="AK1204" s="252">
        <f t="shared" si="162"/>
        <v>1132.0899999999999</v>
      </c>
    </row>
    <row r="1205" spans="6:37" ht="20.25" customHeight="1">
      <c r="H1205" s="296"/>
      <c r="W1205" s="253"/>
      <c r="AA1205" s="252">
        <v>8</v>
      </c>
      <c r="AC1205" s="253">
        <f t="shared" si="160"/>
        <v>4.72</v>
      </c>
      <c r="AD1205" s="252">
        <f t="shared" si="161"/>
        <v>1999.27</v>
      </c>
      <c r="AE1205" s="370"/>
      <c r="AH1205" s="252">
        <v>8</v>
      </c>
      <c r="AJ1205" s="253">
        <f>AC1205</f>
        <v>4.72</v>
      </c>
      <c r="AK1205" s="252">
        <f t="shared" si="162"/>
        <v>1136.81</v>
      </c>
    </row>
    <row r="1206" spans="6:37" ht="20.25" customHeight="1">
      <c r="H1206" s="296"/>
      <c r="W1206" s="253"/>
      <c r="AA1206" s="252">
        <v>9</v>
      </c>
      <c r="AC1206" s="253">
        <f t="shared" si="160"/>
        <v>4.72</v>
      </c>
      <c r="AD1206" s="252">
        <f t="shared" si="161"/>
        <v>2003.99</v>
      </c>
      <c r="AE1206" s="370"/>
      <c r="AF1206" s="252" t="s">
        <v>4623</v>
      </c>
      <c r="AH1206" s="252">
        <v>9</v>
      </c>
      <c r="AJ1206" s="253">
        <f>AC1206</f>
        <v>4.72</v>
      </c>
      <c r="AK1206" s="252">
        <f t="shared" si="162"/>
        <v>1141.53</v>
      </c>
    </row>
    <row r="1207" spans="6:37" ht="20.25" customHeight="1">
      <c r="H1207" s="296"/>
      <c r="W1207" s="253"/>
      <c r="AA1207" s="252">
        <v>10</v>
      </c>
      <c r="AC1207" s="253">
        <f t="shared" si="160"/>
        <v>4.72</v>
      </c>
      <c r="AD1207" s="252">
        <f t="shared" si="161"/>
        <v>2008.71</v>
      </c>
      <c r="AE1207" s="370"/>
      <c r="AG1207" s="296"/>
    </row>
    <row r="1208" spans="6:37" ht="20.25" customHeight="1">
      <c r="H1208" s="296"/>
      <c r="W1208" s="253"/>
      <c r="AA1208" s="252">
        <v>11</v>
      </c>
      <c r="AC1208" s="253">
        <f t="shared" si="160"/>
        <v>4.72</v>
      </c>
      <c r="AD1208" s="252">
        <f t="shared" si="161"/>
        <v>2013.43</v>
      </c>
      <c r="AE1208" s="370"/>
      <c r="AG1208" s="296"/>
    </row>
    <row r="1209" spans="6:37" ht="20.25" customHeight="1">
      <c r="G1209" s="252" t="s">
        <v>449</v>
      </c>
      <c r="H1209" s="296" t="s">
        <v>450</v>
      </c>
      <c r="I1209" s="296" t="s">
        <v>975</v>
      </c>
      <c r="J1209" s="296" t="s">
        <v>449</v>
      </c>
      <c r="K1209" s="252">
        <v>5</v>
      </c>
      <c r="Q1209" s="253"/>
      <c r="W1209" s="253"/>
      <c r="Y1209" s="375">
        <v>29.5</v>
      </c>
      <c r="Z1209" s="252" t="s">
        <v>2251</v>
      </c>
      <c r="AA1209" s="276" t="s">
        <v>6034</v>
      </c>
      <c r="AE1209" s="370" t="str">
        <f t="shared" ref="AE1209:AE1277" si="163">AG1209</f>
        <v>|</v>
      </c>
      <c r="AG1209" s="296" t="s">
        <v>2259</v>
      </c>
    </row>
    <row r="1210" spans="6:37" ht="20.25" customHeight="1">
      <c r="K1210" s="358" t="s">
        <v>1586</v>
      </c>
      <c r="Q1210" s="253"/>
      <c r="W1210" s="253"/>
      <c r="AA1210" s="276" t="s">
        <v>3818</v>
      </c>
      <c r="AE1210" s="370" t="str">
        <f t="shared" si="163"/>
        <v>|</v>
      </c>
      <c r="AG1210" s="296" t="s">
        <v>2259</v>
      </c>
    </row>
    <row r="1211" spans="6:37" ht="20.25" customHeight="1">
      <c r="H1211" s="296" t="s">
        <v>441</v>
      </c>
      <c r="K1211" s="252">
        <f>SUM(K1200:K1209)</f>
        <v>5124.1400000000003</v>
      </c>
      <c r="Q1211" s="253"/>
      <c r="W1211" s="253"/>
      <c r="AA1211" s="296"/>
      <c r="AE1211" s="370" t="str">
        <f t="shared" si="163"/>
        <v>|</v>
      </c>
      <c r="AG1211" s="296" t="s">
        <v>2259</v>
      </c>
    </row>
    <row r="1212" spans="6:37" ht="20.2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20.25" customHeight="1">
      <c r="H1213" s="255" t="s">
        <v>552</v>
      </c>
      <c r="K1213" s="274">
        <f>(K1211/10)</f>
        <v>512.41</v>
      </c>
      <c r="Q1213" s="253"/>
      <c r="W1213" s="253"/>
      <c r="Y1213" s="252">
        <v>10</v>
      </c>
      <c r="Z1213" s="252" t="s">
        <v>609</v>
      </c>
      <c r="AA1213" s="260" t="s">
        <v>6035</v>
      </c>
      <c r="AB1213" s="362">
        <v>1462</v>
      </c>
      <c r="AC1213" s="296" t="s">
        <v>609</v>
      </c>
      <c r="AD1213" s="252">
        <f>(Y1213*AB1213)</f>
        <v>14620</v>
      </c>
      <c r="AE1213" s="370" t="str">
        <f t="shared" si="163"/>
        <v>|</v>
      </c>
      <c r="AG1213" s="296" t="s">
        <v>2259</v>
      </c>
    </row>
    <row r="1214" spans="6:37" ht="20.25" customHeight="1">
      <c r="K1214" s="358" t="s">
        <v>2055</v>
      </c>
      <c r="Q1214" s="253"/>
      <c r="S1214" s="462" t="s">
        <v>3470</v>
      </c>
      <c r="W1214" s="253"/>
      <c r="Y1214" s="252">
        <v>0.21</v>
      </c>
      <c r="Z1214" s="252" t="s">
        <v>869</v>
      </c>
      <c r="AA1214" s="296" t="s">
        <v>1876</v>
      </c>
      <c r="AB1214" s="252">
        <f t="shared" ref="AB1214:AB1226" si="164">AB1242</f>
        <v>4756.78</v>
      </c>
      <c r="AC1214" s="296" t="s">
        <v>869</v>
      </c>
      <c r="AD1214" s="252">
        <f>(Y1214*AB1214)</f>
        <v>998.92</v>
      </c>
      <c r="AE1214" s="370" t="str">
        <f t="shared" si="163"/>
        <v>|</v>
      </c>
      <c r="AG1214" s="296" t="s">
        <v>2259</v>
      </c>
    </row>
    <row r="1215" spans="6:37" ht="20.25" customHeight="1">
      <c r="F1215" s="253" t="s">
        <v>935</v>
      </c>
      <c r="G1215" s="252" t="s">
        <v>2251</v>
      </c>
      <c r="H1215" s="296" t="s">
        <v>1844</v>
      </c>
      <c r="M1215" s="252">
        <v>10</v>
      </c>
      <c r="N1215" s="252" t="s">
        <v>609</v>
      </c>
      <c r="O1215" s="393" t="s">
        <v>6103</v>
      </c>
      <c r="P1215" s="463">
        <v>653</v>
      </c>
      <c r="Q1215" s="253" t="s">
        <v>609</v>
      </c>
      <c r="R1215" s="252">
        <f>M1215*P1215</f>
        <v>6530</v>
      </c>
      <c r="S1215" s="356">
        <v>694.02</v>
      </c>
      <c r="T1215" s="252">
        <f>S1215*M1215</f>
        <v>6940.2</v>
      </c>
      <c r="W1215" s="253"/>
      <c r="AA1215" s="296" t="s">
        <v>1877</v>
      </c>
      <c r="AB1215" s="252" t="str">
        <f t="shared" si="164"/>
        <v xml:space="preserve"> </v>
      </c>
      <c r="AC1215" s="296"/>
      <c r="AD1215" s="296" t="s">
        <v>975</v>
      </c>
      <c r="AE1215" s="370" t="str">
        <f t="shared" si="163"/>
        <v>|</v>
      </c>
      <c r="AG1215" s="296" t="s">
        <v>2259</v>
      </c>
    </row>
    <row r="1216" spans="6:37" ht="20.25" customHeight="1">
      <c r="H1216" s="296" t="s">
        <v>1872</v>
      </c>
      <c r="M1216" s="252">
        <v>0.21</v>
      </c>
      <c r="N1216" s="252" t="s">
        <v>869</v>
      </c>
      <c r="O1216" s="296" t="s">
        <v>1876</v>
      </c>
      <c r="P1216" s="252">
        <f>I1220</f>
        <v>4756.78</v>
      </c>
      <c r="Q1216" s="253" t="s">
        <v>869</v>
      </c>
      <c r="R1216" s="252">
        <f t="shared" ref="R1216:R1225" si="165">(M1216*P1216)</f>
        <v>998.92</v>
      </c>
      <c r="T1216" s="252">
        <f>R1216</f>
        <v>998.92</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0.25"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0.25"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0.25"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0.25" customHeight="1">
      <c r="F1220" s="252">
        <v>0.21</v>
      </c>
      <c r="G1220" s="252" t="s">
        <v>869</v>
      </c>
      <c r="H1220" s="296" t="s">
        <v>1876</v>
      </c>
      <c r="I1220" s="252">
        <f>(K32)</f>
        <v>4756.78</v>
      </c>
      <c r="J1220" s="296" t="s">
        <v>869</v>
      </c>
      <c r="K1220" s="252">
        <f>(F1220*I1220)</f>
        <v>998.92</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0.25"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0.25"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0.25"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0.25"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0.25"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0.25"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0.25"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22947.119999999999</v>
      </c>
      <c r="AE1227" s="370" t="str">
        <f t="shared" si="163"/>
        <v>|::</v>
      </c>
      <c r="AG1227" s="296" t="s">
        <v>321</v>
      </c>
    </row>
    <row r="1228" spans="6:33" ht="20.25" customHeight="1">
      <c r="F1228" s="252">
        <v>0.5</v>
      </c>
      <c r="G1228" s="252" t="s">
        <v>769</v>
      </c>
      <c r="H1228" s="296" t="s">
        <v>1902</v>
      </c>
      <c r="I1228" s="252">
        <f>(C12)</f>
        <v>651</v>
      </c>
      <c r="J1228" s="296" t="s">
        <v>769</v>
      </c>
      <c r="K1228" s="252">
        <f>(F1228*I1228)</f>
        <v>325.5</v>
      </c>
      <c r="O1228" s="296" t="s">
        <v>441</v>
      </c>
      <c r="Q1228" s="253"/>
      <c r="R1228" s="252">
        <f>SUM(R1215:R1226)</f>
        <v>14839.38</v>
      </c>
      <c r="T1228" s="252">
        <f>SUM(T1215:T1227)</f>
        <v>15247.72</v>
      </c>
      <c r="W1228" s="253"/>
      <c r="AC1228" s="296"/>
      <c r="AD1228" s="358" t="s">
        <v>1586</v>
      </c>
      <c r="AE1228" s="370">
        <f t="shared" si="163"/>
        <v>0</v>
      </c>
    </row>
    <row r="1229" spans="6:33" ht="20.25"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2294.71</v>
      </c>
      <c r="AE1229" s="370">
        <f t="shared" si="163"/>
        <v>0</v>
      </c>
    </row>
    <row r="1230" spans="6:33" ht="20.25" customHeight="1">
      <c r="F1230" s="296" t="s">
        <v>249</v>
      </c>
      <c r="H1230" s="296" t="s">
        <v>1878</v>
      </c>
      <c r="I1230" s="296" t="s">
        <v>975</v>
      </c>
      <c r="K1230" s="296" t="s">
        <v>975</v>
      </c>
      <c r="O1230" s="276" t="s">
        <v>552</v>
      </c>
      <c r="Q1230" s="253"/>
      <c r="R1230" s="274">
        <f>(R1228/10)</f>
        <v>1483.94</v>
      </c>
      <c r="S1230" s="356">
        <f>R1230-975.62</f>
        <v>508.32</v>
      </c>
      <c r="T1230" s="274">
        <f>(T1228/10)</f>
        <v>1524.77</v>
      </c>
      <c r="W1230" s="253"/>
      <c r="AC1230" s="296"/>
      <c r="AD1230" s="358" t="s">
        <v>2055</v>
      </c>
      <c r="AE1230" s="370" t="str">
        <f t="shared" si="163"/>
        <v>|</v>
      </c>
      <c r="AG1230" s="296" t="s">
        <v>2259</v>
      </c>
    </row>
    <row r="1231" spans="6:33" ht="20.25"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0.25"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0.25"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0.25" customHeight="1">
      <c r="F1234" s="252">
        <v>1.1000000000000001</v>
      </c>
      <c r="G1234" s="252" t="s">
        <v>769</v>
      </c>
      <c r="H1234" s="296" t="s">
        <v>856</v>
      </c>
      <c r="I1234" s="252">
        <f>(C29)</f>
        <v>769</v>
      </c>
      <c r="J1234" s="296" t="s">
        <v>769</v>
      </c>
      <c r="K1234" s="252">
        <f>(F1234*I1234)</f>
        <v>845.9</v>
      </c>
      <c r="M1234" s="252">
        <v>10</v>
      </c>
      <c r="N1234" s="252" t="s">
        <v>609</v>
      </c>
      <c r="O1234" s="296" t="s">
        <v>5312</v>
      </c>
      <c r="P1234" s="362">
        <v>658</v>
      </c>
      <c r="Q1234" s="253" t="s">
        <v>609</v>
      </c>
      <c r="R1234" s="252">
        <f>M1234*P1234</f>
        <v>6580</v>
      </c>
      <c r="U1234" s="461" t="s">
        <v>3904</v>
      </c>
      <c r="W1234" s="253"/>
      <c r="AE1234" s="370" t="str">
        <f t="shared" si="163"/>
        <v>|</v>
      </c>
      <c r="AG1234" s="296" t="s">
        <v>2259</v>
      </c>
    </row>
    <row r="1235" spans="6:33" ht="20.25"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4756.78</v>
      </c>
      <c r="Q1235" s="253" t="s">
        <v>869</v>
      </c>
      <c r="R1235" s="252">
        <f>(M1235*P1235)</f>
        <v>998.92</v>
      </c>
      <c r="W1235" s="253"/>
      <c r="AE1235" s="370" t="str">
        <f t="shared" si="163"/>
        <v>|</v>
      </c>
      <c r="AG1235" s="296" t="s">
        <v>2259</v>
      </c>
    </row>
    <row r="1236" spans="6:33" ht="20.25"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0.25"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6031</v>
      </c>
      <c r="V1237" s="435">
        <v>658</v>
      </c>
      <c r="W1237" s="253" t="s">
        <v>609</v>
      </c>
      <c r="X1237" s="252">
        <f>S1237*V1237</f>
        <v>6580</v>
      </c>
      <c r="Y1237" s="375">
        <v>29.5</v>
      </c>
      <c r="Z1237" s="252" t="s">
        <v>2251</v>
      </c>
      <c r="AA1237" s="276" t="s">
        <v>3795</v>
      </c>
      <c r="AE1237" s="370" t="str">
        <f t="shared" si="163"/>
        <v>|</v>
      </c>
      <c r="AG1237" s="296" t="s">
        <v>2259</v>
      </c>
    </row>
    <row r="1238" spans="6:33" ht="20.25" customHeight="1">
      <c r="H1238" s="296" t="s">
        <v>441</v>
      </c>
      <c r="K1238" s="252">
        <f>SUM(K1218:K1236)</f>
        <v>12319.7</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4756.78</v>
      </c>
      <c r="W1238" s="253" t="s">
        <v>869</v>
      </c>
      <c r="X1238" s="252">
        <f>(S1238*V1238)</f>
        <v>998.92</v>
      </c>
      <c r="AA1238" s="296"/>
      <c r="AE1238" s="370" t="str">
        <f t="shared" si="163"/>
        <v>|</v>
      </c>
      <c r="AG1238" s="296" t="s">
        <v>2259</v>
      </c>
    </row>
    <row r="1239" spans="6:33" ht="20.25"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0.25"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20.25" customHeight="1">
      <c r="H1241" s="255" t="s">
        <v>552</v>
      </c>
      <c r="K1241" s="274">
        <f>(K1238/10)</f>
        <v>1231.97</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5313</v>
      </c>
      <c r="AB1241" s="362">
        <v>793</v>
      </c>
      <c r="AC1241" s="296" t="s">
        <v>609</v>
      </c>
      <c r="AD1241" s="252">
        <f>(Y1241*AB1241)</f>
        <v>7930</v>
      </c>
      <c r="AE1241" s="370" t="str">
        <f t="shared" si="163"/>
        <v>|</v>
      </c>
      <c r="AG1241" s="296" t="s">
        <v>2259</v>
      </c>
    </row>
    <row r="1242" spans="6:33" ht="20.25"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4756.78</v>
      </c>
      <c r="AC1242" s="296" t="s">
        <v>869</v>
      </c>
      <c r="AD1242" s="252">
        <f>(Y1242*AB1242)</f>
        <v>998.92</v>
      </c>
      <c r="AE1242" s="370" t="str">
        <f t="shared" si="163"/>
        <v>|</v>
      </c>
      <c r="AG1242" s="296" t="s">
        <v>2259</v>
      </c>
    </row>
    <row r="1243" spans="6:33" ht="20.25"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0.25"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0.25"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0.25"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0.25" customHeight="1">
      <c r="H1247" s="358" t="s">
        <v>1586</v>
      </c>
      <c r="I1247" s="358" t="s">
        <v>1586</v>
      </c>
      <c r="O1247" s="296" t="s">
        <v>441</v>
      </c>
      <c r="Q1247" s="253"/>
      <c r="R1247" s="252">
        <f>SUM(R1234:R1245)</f>
        <v>14907.12</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0.25"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0.25" customHeight="1">
      <c r="F1249" s="252">
        <v>0.21</v>
      </c>
      <c r="G1249" s="252" t="s">
        <v>869</v>
      </c>
      <c r="H1249" s="296" t="s">
        <v>1876</v>
      </c>
      <c r="I1249" s="252">
        <f>(K32)</f>
        <v>4756.78</v>
      </c>
      <c r="J1249" s="296" t="s">
        <v>869</v>
      </c>
      <c r="K1249" s="252">
        <f>(F1249*I1249)</f>
        <v>998.92</v>
      </c>
      <c r="O1249" s="276" t="s">
        <v>552</v>
      </c>
      <c r="Q1249" s="253"/>
      <c r="R1249" s="274">
        <f>(R1247/10)</f>
        <v>1490.71</v>
      </c>
      <c r="W1249" s="253"/>
      <c r="X1249" s="358" t="s">
        <v>1586</v>
      </c>
      <c r="Y1249" s="356">
        <v>2</v>
      </c>
      <c r="Z1249" s="252" t="s">
        <v>1645</v>
      </c>
      <c r="AA1249" s="296" t="s">
        <v>2081</v>
      </c>
      <c r="AB1249" s="314">
        <v>36.1</v>
      </c>
      <c r="AC1249" s="296" t="s">
        <v>1645</v>
      </c>
      <c r="AD1249" s="252">
        <f>(Y1249*AB1249)</f>
        <v>72.2</v>
      </c>
      <c r="AE1249" s="370">
        <f t="shared" si="163"/>
        <v>0</v>
      </c>
    </row>
    <row r="1250" spans="6:33" ht="20.25" customHeight="1">
      <c r="H1250" s="296" t="s">
        <v>1877</v>
      </c>
      <c r="I1250" s="296" t="s">
        <v>975</v>
      </c>
      <c r="K1250" s="296" t="s">
        <v>975</v>
      </c>
      <c r="Q1250" s="253"/>
      <c r="R1250" s="358"/>
      <c r="U1250" s="296" t="s">
        <v>441</v>
      </c>
      <c r="W1250" s="253"/>
      <c r="X1250" s="252">
        <f>SUM(X1237:X1248)</f>
        <v>14907.3</v>
      </c>
      <c r="Y1250" s="252">
        <v>1.6</v>
      </c>
      <c r="Z1250" s="252" t="s">
        <v>769</v>
      </c>
      <c r="AA1250" s="296" t="s">
        <v>1712</v>
      </c>
      <c r="AB1250" s="252">
        <f>V1245</f>
        <v>932</v>
      </c>
      <c r="AC1250" s="296" t="s">
        <v>769</v>
      </c>
      <c r="AD1250" s="252">
        <f>(Y1250*AB1250)</f>
        <v>1491.2</v>
      </c>
      <c r="AE1250" s="370" t="str">
        <f t="shared" si="163"/>
        <v>|</v>
      </c>
      <c r="AG1250" s="296" t="s">
        <v>2259</v>
      </c>
    </row>
    <row r="1251" spans="6:33" ht="20.25"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0.25"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1490.73</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0.25"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0.25" customHeight="1">
      <c r="F1254" s="252">
        <v>2.2000000000000002</v>
      </c>
      <c r="G1254" s="252" t="s">
        <v>769</v>
      </c>
      <c r="H1254" s="296" t="s">
        <v>320</v>
      </c>
      <c r="I1254" s="252">
        <f>(C13)</f>
        <v>534</v>
      </c>
      <c r="J1254" s="296" t="s">
        <v>769</v>
      </c>
      <c r="K1254" s="252">
        <f>(F1254*I1254)</f>
        <v>1174.8</v>
      </c>
      <c r="O1254" s="274" t="s">
        <v>3615</v>
      </c>
      <c r="Q1254" s="1044" t="s">
        <v>3858</v>
      </c>
      <c r="W1254" s="253"/>
      <c r="AC1254" s="296"/>
      <c r="AD1254" s="358" t="s">
        <v>1586</v>
      </c>
      <c r="AE1254" s="370" t="str">
        <f t="shared" si="163"/>
        <v>|</v>
      </c>
      <c r="AG1254" s="296" t="s">
        <v>2259</v>
      </c>
    </row>
    <row r="1255" spans="6:33" ht="20.25" customHeight="1">
      <c r="F1255" s="356">
        <v>20</v>
      </c>
      <c r="G1255" s="252" t="s">
        <v>1645</v>
      </c>
      <c r="H1255" s="296" t="s">
        <v>862</v>
      </c>
      <c r="I1255" s="252">
        <f>(C67)</f>
        <v>6040</v>
      </c>
      <c r="J1255" s="296" t="s">
        <v>861</v>
      </c>
      <c r="K1255" s="252">
        <f>(F1255*I1255)/1000</f>
        <v>120.8</v>
      </c>
      <c r="Q1255" s="1044"/>
      <c r="W1255" s="253"/>
      <c r="AA1255" s="296" t="s">
        <v>441</v>
      </c>
      <c r="AC1255" s="296"/>
      <c r="AD1255" s="252">
        <f>SUM(AD1241:AD1253)</f>
        <v>16257.12</v>
      </c>
      <c r="AE1255" s="370" t="str">
        <f t="shared" si="163"/>
        <v>|</v>
      </c>
      <c r="AG1255" s="296" t="s">
        <v>2259</v>
      </c>
    </row>
    <row r="1256" spans="6:33" ht="20.25" customHeight="1">
      <c r="F1256" s="356">
        <v>2</v>
      </c>
      <c r="G1256" s="252" t="s">
        <v>1645</v>
      </c>
      <c r="H1256" s="376" t="s">
        <v>4228</v>
      </c>
      <c r="I1256" s="420">
        <v>36.1</v>
      </c>
      <c r="J1256" s="296" t="s">
        <v>1645</v>
      </c>
      <c r="K1256" s="252">
        <f>(F1256*I1256)</f>
        <v>72.2</v>
      </c>
      <c r="M1256" s="1051"/>
      <c r="N1256" s="1051"/>
      <c r="O1256" s="1051"/>
      <c r="P1256" s="1051"/>
      <c r="Q1256" s="1044"/>
      <c r="W1256" s="253"/>
      <c r="AC1256" s="296"/>
      <c r="AD1256" s="358" t="s">
        <v>1586</v>
      </c>
      <c r="AE1256" s="370" t="str">
        <f t="shared" si="163"/>
        <v>|</v>
      </c>
      <c r="AG1256" s="296" t="s">
        <v>2259</v>
      </c>
    </row>
    <row r="1257" spans="6:33" ht="20.25" customHeight="1">
      <c r="F1257" s="252">
        <v>1.6</v>
      </c>
      <c r="G1257" s="252" t="s">
        <v>769</v>
      </c>
      <c r="H1257" s="296" t="s">
        <v>1712</v>
      </c>
      <c r="I1257" s="252">
        <f>(C11)</f>
        <v>932</v>
      </c>
      <c r="J1257" s="296" t="s">
        <v>769</v>
      </c>
      <c r="K1257" s="252">
        <f>(F1257*I1257)</f>
        <v>1491.2</v>
      </c>
      <c r="M1257" s="283">
        <v>10</v>
      </c>
      <c r="N1257" s="283" t="s">
        <v>609</v>
      </c>
      <c r="O1257" s="1052" t="s">
        <v>6566</v>
      </c>
      <c r="P1257" s="1053">
        <v>421.3</v>
      </c>
      <c r="Q1257" s="1044" t="s">
        <v>609</v>
      </c>
      <c r="R1257" s="252">
        <f>M1257*P1257</f>
        <v>4213</v>
      </c>
      <c r="W1257" s="253"/>
      <c r="AA1257" s="255" t="s">
        <v>552</v>
      </c>
      <c r="AC1257" s="296"/>
      <c r="AD1257" s="274">
        <f>(AD1255/10)</f>
        <v>1625.71</v>
      </c>
      <c r="AE1257" s="465" t="s">
        <v>3501</v>
      </c>
      <c r="AG1257" s="296" t="s">
        <v>2259</v>
      </c>
    </row>
    <row r="1258" spans="6:33" ht="20.25" customHeight="1">
      <c r="F1258" s="252">
        <v>0.5</v>
      </c>
      <c r="G1258" s="252" t="s">
        <v>769</v>
      </c>
      <c r="H1258" s="296" t="s">
        <v>1902</v>
      </c>
      <c r="I1258" s="252">
        <f>(C12)</f>
        <v>651</v>
      </c>
      <c r="J1258" s="296" t="s">
        <v>769</v>
      </c>
      <c r="K1258" s="252">
        <f>(F1258*I1258)</f>
        <v>325.5</v>
      </c>
      <c r="M1258" s="252">
        <v>0.21</v>
      </c>
      <c r="N1258" s="252" t="s">
        <v>869</v>
      </c>
      <c r="O1258" s="296" t="s">
        <v>1876</v>
      </c>
      <c r="P1258" s="252">
        <f t="shared" ref="P1258:P1263" si="169">P1216</f>
        <v>4756.78</v>
      </c>
      <c r="Q1258" s="1044" t="s">
        <v>869</v>
      </c>
      <c r="R1258" s="252">
        <f t="shared" ref="R1258:R1267" si="170">(M1258*P1258)</f>
        <v>998.92</v>
      </c>
      <c r="W1258" s="253"/>
      <c r="AC1258" s="296"/>
      <c r="AD1258" s="358" t="s">
        <v>2055</v>
      </c>
      <c r="AE1258" s="370" t="str">
        <f t="shared" si="163"/>
        <v>|</v>
      </c>
      <c r="AG1258" s="296" t="s">
        <v>2259</v>
      </c>
    </row>
    <row r="1259" spans="6:33" ht="20.25" customHeight="1">
      <c r="F1259" s="252">
        <v>1.1000000000000001</v>
      </c>
      <c r="G1259" s="252" t="s">
        <v>769</v>
      </c>
      <c r="H1259" s="296" t="s">
        <v>320</v>
      </c>
      <c r="I1259" s="252">
        <f>(C13)</f>
        <v>534</v>
      </c>
      <c r="J1259" s="296" t="s">
        <v>769</v>
      </c>
      <c r="K1259" s="252">
        <f>(F1259*I1259)</f>
        <v>587.4</v>
      </c>
      <c r="M1259" s="252">
        <v>1.1000000000000001</v>
      </c>
      <c r="N1259" s="252" t="s">
        <v>769</v>
      </c>
      <c r="O1259" s="296" t="s">
        <v>2009</v>
      </c>
      <c r="P1259" s="252">
        <f t="shared" si="169"/>
        <v>999</v>
      </c>
      <c r="Q1259" s="1044" t="s">
        <v>769</v>
      </c>
      <c r="R1259" s="252">
        <f t="shared" si="170"/>
        <v>1098.9000000000001</v>
      </c>
      <c r="W1259" s="253"/>
      <c r="Y1259" s="375">
        <v>29.4</v>
      </c>
      <c r="Z1259" s="252" t="s">
        <v>2251</v>
      </c>
      <c r="AA1259" s="296" t="s">
        <v>3503</v>
      </c>
      <c r="AE1259" s="370" t="str">
        <f t="shared" si="163"/>
        <v>|</v>
      </c>
      <c r="AG1259" s="296" t="s">
        <v>2259</v>
      </c>
    </row>
    <row r="1260" spans="6:33" ht="20.25" customHeight="1">
      <c r="G1260" s="252" t="s">
        <v>449</v>
      </c>
      <c r="H1260" s="296" t="s">
        <v>450</v>
      </c>
      <c r="J1260" s="296" t="s">
        <v>449</v>
      </c>
      <c r="K1260" s="252">
        <v>0</v>
      </c>
      <c r="M1260" s="252">
        <v>1.1000000000000001</v>
      </c>
      <c r="N1260" s="252" t="s">
        <v>769</v>
      </c>
      <c r="O1260" s="296" t="s">
        <v>1712</v>
      </c>
      <c r="P1260" s="252">
        <f t="shared" si="169"/>
        <v>932</v>
      </c>
      <c r="Q1260" s="1044" t="s">
        <v>769</v>
      </c>
      <c r="R1260" s="252">
        <f t="shared" si="170"/>
        <v>1025.2</v>
      </c>
      <c r="W1260" s="253"/>
      <c r="AA1260" s="296" t="s">
        <v>3504</v>
      </c>
      <c r="AE1260" s="370" t="str">
        <f t="shared" si="163"/>
        <v>|</v>
      </c>
      <c r="AG1260" s="296" t="s">
        <v>2259</v>
      </c>
    </row>
    <row r="1261" spans="6:33" ht="20.25" customHeight="1">
      <c r="K1261" s="358" t="s">
        <v>1586</v>
      </c>
      <c r="M1261" s="252">
        <v>2.2000000000000002</v>
      </c>
      <c r="N1261" s="252" t="s">
        <v>769</v>
      </c>
      <c r="O1261" s="296" t="s">
        <v>1902</v>
      </c>
      <c r="P1261" s="252">
        <f t="shared" si="169"/>
        <v>651</v>
      </c>
      <c r="Q1261" s="1044" t="s">
        <v>769</v>
      </c>
      <c r="R1261" s="252">
        <f t="shared" si="170"/>
        <v>1432.2</v>
      </c>
      <c r="W1261" s="253"/>
      <c r="AA1261" s="358" t="s">
        <v>1586</v>
      </c>
      <c r="AE1261" s="370" t="str">
        <f t="shared" si="163"/>
        <v>|</v>
      </c>
      <c r="AG1261" s="296" t="s">
        <v>2259</v>
      </c>
    </row>
    <row r="1262" spans="6:33" ht="20.25" customHeight="1">
      <c r="H1262" s="296" t="s">
        <v>441</v>
      </c>
      <c r="K1262" s="252">
        <f>SUM(K1248:K1260)</f>
        <v>12105.72</v>
      </c>
      <c r="M1262" s="252">
        <v>2.2000000000000002</v>
      </c>
      <c r="N1262" s="252" t="s">
        <v>769</v>
      </c>
      <c r="O1262" s="296" t="s">
        <v>320</v>
      </c>
      <c r="P1262" s="252">
        <f t="shared" si="169"/>
        <v>534</v>
      </c>
      <c r="Q1262" s="1044" t="s">
        <v>769</v>
      </c>
      <c r="R1262" s="252">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0.25" customHeight="1">
      <c r="K1263" s="358" t="s">
        <v>1586</v>
      </c>
      <c r="M1263" s="356">
        <v>20</v>
      </c>
      <c r="N1263" s="252" t="s">
        <v>1645</v>
      </c>
      <c r="O1263" s="296" t="s">
        <v>862</v>
      </c>
      <c r="P1263" s="252">
        <f t="shared" si="169"/>
        <v>6040</v>
      </c>
      <c r="Q1263" s="1044" t="s">
        <v>861</v>
      </c>
      <c r="R1263" s="252">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0.25" customHeight="1">
      <c r="H1264" s="255" t="s">
        <v>552</v>
      </c>
      <c r="K1264" s="274">
        <f>(K1262/10)</f>
        <v>1210.57</v>
      </c>
      <c r="M1264" s="356">
        <v>2</v>
      </c>
      <c r="N1264" s="252" t="s">
        <v>1645</v>
      </c>
      <c r="O1264" s="296" t="s">
        <v>1528</v>
      </c>
      <c r="P1264" s="252">
        <f>I1256</f>
        <v>36.1</v>
      </c>
      <c r="Q1264" s="1044" t="s">
        <v>1645</v>
      </c>
      <c r="R1264" s="252">
        <f t="shared" si="170"/>
        <v>72.2</v>
      </c>
      <c r="W1264" s="253"/>
      <c r="Y1264" s="252">
        <v>0.02</v>
      </c>
      <c r="Z1264" s="252" t="s">
        <v>869</v>
      </c>
      <c r="AA1264" s="296" t="s">
        <v>417</v>
      </c>
      <c r="AB1264" s="252">
        <f>I1271</f>
        <v>6206.38</v>
      </c>
      <c r="AC1264" s="296" t="str">
        <f>J1271</f>
        <v>CUM</v>
      </c>
      <c r="AD1264" s="252">
        <f t="shared" si="171"/>
        <v>124.13</v>
      </c>
      <c r="AE1264" s="370">
        <f t="shared" si="163"/>
        <v>0</v>
      </c>
    </row>
    <row r="1265" spans="6:33" ht="20.25" customHeight="1">
      <c r="K1265" s="358" t="s">
        <v>2055</v>
      </c>
      <c r="M1265" s="252">
        <v>1.6</v>
      </c>
      <c r="N1265" s="252" t="s">
        <v>769</v>
      </c>
      <c r="O1265" s="296" t="s">
        <v>1712</v>
      </c>
      <c r="P1265" s="252">
        <f>P1223</f>
        <v>932</v>
      </c>
      <c r="Q1265" s="1044" t="s">
        <v>769</v>
      </c>
      <c r="R1265" s="252">
        <f t="shared" si="170"/>
        <v>1491.2</v>
      </c>
      <c r="W1265" s="253"/>
      <c r="Y1265" s="252">
        <v>1</v>
      </c>
      <c r="Z1265" s="252" t="s">
        <v>769</v>
      </c>
      <c r="AA1265" s="296" t="s">
        <v>2009</v>
      </c>
      <c r="AB1265" s="252">
        <f>I1272</f>
        <v>999</v>
      </c>
      <c r="AC1265" s="296" t="str">
        <f>J1272</f>
        <v>NO</v>
      </c>
      <c r="AD1265" s="252">
        <f t="shared" si="171"/>
        <v>999</v>
      </c>
      <c r="AE1265" s="370" t="str">
        <f t="shared" si="163"/>
        <v xml:space="preserve"> </v>
      </c>
      <c r="AG1265" s="296" t="s">
        <v>975</v>
      </c>
    </row>
    <row r="1266" spans="6:33" ht="20.25" customHeight="1">
      <c r="F1266" s="375">
        <v>29.4</v>
      </c>
      <c r="G1266" s="252" t="s">
        <v>2251</v>
      </c>
      <c r="H1266" s="296" t="s">
        <v>1091</v>
      </c>
      <c r="M1266" s="252">
        <v>0.5</v>
      </c>
      <c r="N1266" s="252" t="s">
        <v>769</v>
      </c>
      <c r="O1266" s="296" t="s">
        <v>1902</v>
      </c>
      <c r="P1266" s="252">
        <f>P1224</f>
        <v>651</v>
      </c>
      <c r="Q1266" s="1044" t="s">
        <v>769</v>
      </c>
      <c r="R1266" s="252">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0.25" customHeight="1">
      <c r="H1267" s="296" t="s">
        <v>1092</v>
      </c>
      <c r="M1267" s="252">
        <v>1.1000000000000001</v>
      </c>
      <c r="N1267" s="252" t="s">
        <v>769</v>
      </c>
      <c r="O1267" s="296" t="s">
        <v>320</v>
      </c>
      <c r="P1267" s="252">
        <f>P1225</f>
        <v>534</v>
      </c>
      <c r="Q1267" s="1044" t="s">
        <v>769</v>
      </c>
      <c r="R1267" s="252">
        <f t="shared" si="170"/>
        <v>587.4</v>
      </c>
      <c r="W1267" s="253"/>
      <c r="Z1267" s="252" t="s">
        <v>449</v>
      </c>
      <c r="AA1267" s="296" t="s">
        <v>450</v>
      </c>
      <c r="AC1267" s="296" t="s">
        <v>449</v>
      </c>
      <c r="AD1267" s="252">
        <f t="shared" si="171"/>
        <v>0</v>
      </c>
      <c r="AE1267" s="370">
        <f t="shared" si="163"/>
        <v>0</v>
      </c>
    </row>
    <row r="1268" spans="6:33" ht="20.25" customHeight="1">
      <c r="H1268" s="358" t="s">
        <v>1586</v>
      </c>
      <c r="N1268" s="252" t="s">
        <v>449</v>
      </c>
      <c r="O1268" s="296" t="s">
        <v>450</v>
      </c>
      <c r="Q1268" s="1044" t="s">
        <v>449</v>
      </c>
      <c r="R1268" s="252">
        <v>0</v>
      </c>
      <c r="W1268" s="253"/>
      <c r="AC1268" s="296"/>
      <c r="AD1268" s="358" t="s">
        <v>1586</v>
      </c>
      <c r="AE1268" s="370">
        <f t="shared" si="163"/>
        <v>0</v>
      </c>
    </row>
    <row r="1269" spans="6:33" ht="20.25" customHeight="1">
      <c r="F1269" s="252">
        <v>1.86</v>
      </c>
      <c r="G1269" s="252" t="s">
        <v>609</v>
      </c>
      <c r="H1269" s="296" t="s">
        <v>1093</v>
      </c>
      <c r="I1269" s="252">
        <f>C602</f>
        <v>415</v>
      </c>
      <c r="J1269" s="296" t="s">
        <v>609</v>
      </c>
      <c r="K1269" s="252">
        <f>(F1269*I1269)</f>
        <v>771.9</v>
      </c>
      <c r="M1269" s="252">
        <f>9.3/0.02</f>
        <v>465</v>
      </c>
      <c r="Q1269" s="1044"/>
      <c r="R1269" s="358"/>
      <c r="W1269" s="253"/>
      <c r="AA1269" s="296" t="s">
        <v>1689</v>
      </c>
      <c r="AC1269" s="296"/>
      <c r="AD1269" s="252">
        <f>SUM(AD1262:AD1267)</f>
        <v>3263.55</v>
      </c>
      <c r="AE1269" s="370">
        <f t="shared" si="163"/>
        <v>0</v>
      </c>
    </row>
    <row r="1270" spans="6:33" ht="20.25" customHeight="1">
      <c r="F1270" s="252">
        <v>0.4</v>
      </c>
      <c r="G1270" s="252" t="s">
        <v>1645</v>
      </c>
      <c r="H1270" s="296" t="s">
        <v>2081</v>
      </c>
      <c r="I1270" s="434">
        <f>I1256</f>
        <v>36.1</v>
      </c>
      <c r="J1270" s="296" t="s">
        <v>1645</v>
      </c>
      <c r="K1270" s="252">
        <f>(F1270*I1270)</f>
        <v>14.44</v>
      </c>
      <c r="O1270" s="296" t="s">
        <v>441</v>
      </c>
      <c r="Q1270" s="1044"/>
      <c r="R1270" s="252">
        <f>SUM(R1257:R1268)</f>
        <v>12540.12</v>
      </c>
      <c r="W1270" s="253"/>
      <c r="AC1270" s="296"/>
      <c r="AD1270" s="358" t="s">
        <v>1586</v>
      </c>
      <c r="AE1270" s="370">
        <f t="shared" si="163"/>
        <v>0</v>
      </c>
    </row>
    <row r="1271" spans="6:33" ht="20.25" customHeight="1">
      <c r="F1271" s="252">
        <v>0.02</v>
      </c>
      <c r="G1271" s="252" t="s">
        <v>869</v>
      </c>
      <c r="H1271" s="296" t="s">
        <v>417</v>
      </c>
      <c r="I1271" s="252">
        <f>K23</f>
        <v>6206.38</v>
      </c>
      <c r="J1271" s="296" t="s">
        <v>869</v>
      </c>
      <c r="K1271" s="252">
        <f>(F1271*I1271)</f>
        <v>124.13</v>
      </c>
      <c r="Q1271" s="1044"/>
      <c r="R1271" s="358" t="s">
        <v>1586</v>
      </c>
      <c r="W1271" s="253"/>
      <c r="AA1271" s="255" t="s">
        <v>552</v>
      </c>
      <c r="AC1271" s="296"/>
      <c r="AD1271" s="274">
        <f>(AD1269/1.86)</f>
        <v>1754.6</v>
      </c>
      <c r="AE1271" s="370">
        <f t="shared" si="163"/>
        <v>0</v>
      </c>
    </row>
    <row r="1272" spans="6:33" ht="20.25" customHeight="1">
      <c r="F1272" s="252">
        <v>1</v>
      </c>
      <c r="G1272" s="252" t="s">
        <v>769</v>
      </c>
      <c r="H1272" s="296" t="s">
        <v>2009</v>
      </c>
      <c r="I1272" s="252">
        <f>C10</f>
        <v>999</v>
      </c>
      <c r="J1272" s="296" t="s">
        <v>769</v>
      </c>
      <c r="K1272" s="252">
        <f>(F1272*I1272)</f>
        <v>999</v>
      </c>
      <c r="O1272" s="276" t="s">
        <v>552</v>
      </c>
      <c r="Q1272" s="1044"/>
      <c r="R1272" s="274">
        <f>(R1270/10)</f>
        <v>1254.01</v>
      </c>
      <c r="W1272" s="253"/>
      <c r="AC1272" s="296"/>
      <c r="AD1272" s="358" t="s">
        <v>2055</v>
      </c>
      <c r="AE1272" s="370">
        <f t="shared" si="163"/>
        <v>0</v>
      </c>
    </row>
    <row r="1273" spans="6:33" ht="20.25" customHeight="1">
      <c r="F1273" s="252">
        <v>1</v>
      </c>
      <c r="G1273" s="252" t="s">
        <v>769</v>
      </c>
      <c r="H1273" s="296" t="s">
        <v>1688</v>
      </c>
      <c r="I1273" s="252">
        <f>C12</f>
        <v>651</v>
      </c>
      <c r="J1273" s="296" t="s">
        <v>769</v>
      </c>
      <c r="K1273" s="252">
        <f>(F1273*I1273)</f>
        <v>651</v>
      </c>
      <c r="S1273" s="375">
        <v>29.5</v>
      </c>
      <c r="T1273" s="252" t="s">
        <v>2251</v>
      </c>
      <c r="U1273" s="296" t="s">
        <v>6104</v>
      </c>
      <c r="W1273" s="253"/>
      <c r="AE1273" s="370">
        <f t="shared" si="163"/>
        <v>0</v>
      </c>
    </row>
    <row r="1274" spans="6:33" ht="20.25" customHeight="1">
      <c r="G1274" s="252" t="s">
        <v>449</v>
      </c>
      <c r="H1274" s="296" t="s">
        <v>450</v>
      </c>
      <c r="J1274" s="296" t="s">
        <v>449</v>
      </c>
      <c r="S1274" s="252"/>
      <c r="U1274" s="296"/>
      <c r="W1274" s="253"/>
      <c r="AE1274" s="370">
        <f t="shared" si="163"/>
        <v>0</v>
      </c>
    </row>
    <row r="1275" spans="6:33" ht="20.25" customHeight="1">
      <c r="K1275" s="358" t="s">
        <v>1586</v>
      </c>
      <c r="S1275" s="252"/>
      <c r="U1275" s="296"/>
      <c r="W1275" s="253"/>
      <c r="AC1275" s="296"/>
      <c r="AE1275" s="370">
        <f t="shared" si="163"/>
        <v>0</v>
      </c>
    </row>
    <row r="1276" spans="6:33" ht="20.25" customHeight="1">
      <c r="H1276" s="296" t="s">
        <v>1689</v>
      </c>
      <c r="K1276" s="252">
        <f>SUM(K1269:K1274)</f>
        <v>2560.4699999999998</v>
      </c>
      <c r="S1276" s="252"/>
      <c r="U1276" s="358" t="s">
        <v>1586</v>
      </c>
      <c r="V1276" s="358" t="s">
        <v>1586</v>
      </c>
      <c r="W1276" s="253"/>
      <c r="AC1276" s="296"/>
      <c r="AE1276" s="370">
        <f t="shared" si="163"/>
        <v>0</v>
      </c>
    </row>
    <row r="1277" spans="6:33" ht="20.25" customHeight="1">
      <c r="K1277" s="358" t="s">
        <v>1586</v>
      </c>
      <c r="S1277" s="252">
        <v>10</v>
      </c>
      <c r="T1277" s="252" t="s">
        <v>609</v>
      </c>
      <c r="U1277" s="260" t="s">
        <v>3602</v>
      </c>
      <c r="V1277" s="314">
        <v>538.21</v>
      </c>
      <c r="W1277" s="253" t="s">
        <v>609</v>
      </c>
      <c r="X1277" s="252">
        <f>(S1277*V1277)</f>
        <v>5382.1</v>
      </c>
      <c r="AC1277" s="296"/>
      <c r="AE1277" s="370">
        <f t="shared" si="163"/>
        <v>0</v>
      </c>
    </row>
    <row r="1278" spans="6:33" ht="20.25" customHeight="1">
      <c r="H1278" s="255" t="s">
        <v>552</v>
      </c>
      <c r="K1278" s="274">
        <f>(K1276/1.86)</f>
        <v>1376.6</v>
      </c>
      <c r="S1278" s="252">
        <v>0.21</v>
      </c>
      <c r="T1278" s="252" t="s">
        <v>869</v>
      </c>
      <c r="U1278" s="296" t="s">
        <v>1876</v>
      </c>
      <c r="V1278" s="252">
        <f t="shared" ref="V1278:V1288" si="172">I1249</f>
        <v>4756.78</v>
      </c>
      <c r="W1278" s="253" t="s">
        <v>869</v>
      </c>
      <c r="X1278" s="252">
        <f>(S1278*V1278)</f>
        <v>998.92</v>
      </c>
      <c r="AE1278" s="370">
        <f t="shared" ref="AE1278:AE1341" si="173">AG1278</f>
        <v>0</v>
      </c>
    </row>
    <row r="1279" spans="6:33" ht="20.25" customHeight="1">
      <c r="K1279" s="358" t="s">
        <v>2055</v>
      </c>
      <c r="S1279" s="252"/>
      <c r="U1279" s="296" t="s">
        <v>1877</v>
      </c>
      <c r="V1279" s="252" t="str">
        <f t="shared" si="172"/>
        <v xml:space="preserve"> </v>
      </c>
      <c r="W1279" s="253"/>
      <c r="X1279" s="296" t="s">
        <v>975</v>
      </c>
      <c r="AE1279" s="370">
        <f t="shared" si="173"/>
        <v>0</v>
      </c>
    </row>
    <row r="1280" spans="6:33" ht="20.25" customHeight="1">
      <c r="F1280" s="375"/>
      <c r="G1280" s="252" t="s">
        <v>2251</v>
      </c>
      <c r="H1280" s="296" t="s">
        <v>6105</v>
      </c>
      <c r="S1280" s="252">
        <v>1.1000000000000001</v>
      </c>
      <c r="T1280" s="252" t="s">
        <v>769</v>
      </c>
      <c r="U1280" s="296" t="s">
        <v>2009</v>
      </c>
      <c r="V1280" s="252">
        <f t="shared" si="172"/>
        <v>999</v>
      </c>
      <c r="W1280" s="253" t="s">
        <v>769</v>
      </c>
      <c r="X1280" s="252">
        <f>(S1280*V1280)</f>
        <v>1098.9000000000001</v>
      </c>
      <c r="AE1280" s="370">
        <f t="shared" si="173"/>
        <v>0</v>
      </c>
    </row>
    <row r="1281" spans="6:31" ht="20.25" customHeight="1">
      <c r="H1281" s="296"/>
      <c r="S1281" s="252">
        <v>1.1000000000000001</v>
      </c>
      <c r="T1281" s="252" t="s">
        <v>769</v>
      </c>
      <c r="U1281" s="296" t="s">
        <v>1712</v>
      </c>
      <c r="V1281" s="252">
        <f t="shared" si="172"/>
        <v>932</v>
      </c>
      <c r="W1281" s="253" t="s">
        <v>769</v>
      </c>
      <c r="X1281" s="252">
        <f>(S1281*V1281)</f>
        <v>1025.2</v>
      </c>
      <c r="AE1281" s="370">
        <f t="shared" si="173"/>
        <v>0</v>
      </c>
    </row>
    <row r="1282" spans="6:31" ht="20.25"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0.25"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0.25"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0.25" customHeight="1">
      <c r="F1285" s="252">
        <v>0.02</v>
      </c>
      <c r="G1285" s="252" t="s">
        <v>869</v>
      </c>
      <c r="H1285" s="296" t="s">
        <v>417</v>
      </c>
      <c r="I1285" s="252">
        <f>I1271</f>
        <v>6206.38</v>
      </c>
      <c r="J1285" s="296" t="s">
        <v>869</v>
      </c>
      <c r="K1285" s="252">
        <f>(F1285*I1285)</f>
        <v>124.13</v>
      </c>
      <c r="S1285" s="356">
        <v>2</v>
      </c>
      <c r="T1285" s="252" t="s">
        <v>1645</v>
      </c>
      <c r="U1285" s="296" t="s">
        <v>2081</v>
      </c>
      <c r="V1285" s="252">
        <f t="shared" si="172"/>
        <v>36.1</v>
      </c>
      <c r="W1285" s="253" t="s">
        <v>1645</v>
      </c>
      <c r="X1285" s="252">
        <f>(S1285*V1285)</f>
        <v>72.2</v>
      </c>
      <c r="AE1285" s="370">
        <f t="shared" si="173"/>
        <v>0</v>
      </c>
    </row>
    <row r="1286" spans="6:31" ht="20.25"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0.25"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0.25"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0.25" customHeight="1">
      <c r="K1289" s="358" t="s">
        <v>1586</v>
      </c>
      <c r="S1289" s="252"/>
      <c r="T1289" s="252" t="s">
        <v>449</v>
      </c>
      <c r="U1289" s="296" t="s">
        <v>450</v>
      </c>
      <c r="W1289" s="253" t="s">
        <v>449</v>
      </c>
      <c r="X1289" s="252">
        <v>0</v>
      </c>
      <c r="AE1289" s="370">
        <f t="shared" si="173"/>
        <v>0</v>
      </c>
    </row>
    <row r="1290" spans="6:31" ht="20.25" customHeight="1">
      <c r="H1290" s="296" t="s">
        <v>1689</v>
      </c>
      <c r="K1290" s="252">
        <f>SUM(K1283:K1288)</f>
        <v>5491.01</v>
      </c>
      <c r="S1290" s="252"/>
      <c r="W1290" s="253"/>
      <c r="X1290" s="358" t="s">
        <v>1586</v>
      </c>
      <c r="AE1290" s="370">
        <f t="shared" si="173"/>
        <v>0</v>
      </c>
    </row>
    <row r="1291" spans="6:31" ht="20.25" customHeight="1">
      <c r="K1291" s="358" t="s">
        <v>1586</v>
      </c>
      <c r="S1291" s="252"/>
      <c r="U1291" s="296" t="s">
        <v>441</v>
      </c>
      <c r="W1291" s="253"/>
      <c r="X1291" s="252">
        <f>SUM(X1277:X1289)</f>
        <v>13709.22</v>
      </c>
      <c r="AE1291" s="370">
        <f t="shared" si="173"/>
        <v>0</v>
      </c>
    </row>
    <row r="1292" spans="6:31" ht="20.25" customHeight="1">
      <c r="H1292" s="255" t="s">
        <v>552</v>
      </c>
      <c r="K1292" s="274">
        <f>(K1290/1.86)</f>
        <v>2952.16</v>
      </c>
      <c r="S1292" s="252"/>
      <c r="W1292" s="253"/>
      <c r="X1292" s="358" t="s">
        <v>1586</v>
      </c>
      <c r="AE1292" s="370">
        <f t="shared" si="173"/>
        <v>0</v>
      </c>
    </row>
    <row r="1293" spans="6:31" ht="20.25" customHeight="1">
      <c r="K1293" s="358" t="s">
        <v>2055</v>
      </c>
      <c r="U1293" s="255" t="s">
        <v>552</v>
      </c>
      <c r="W1293" s="253"/>
      <c r="X1293" s="274">
        <f>(X1291/10)</f>
        <v>1370.92</v>
      </c>
      <c r="AE1293" s="370">
        <f t="shared" si="173"/>
        <v>0</v>
      </c>
    </row>
    <row r="1294" spans="6:31" ht="20.25" customHeight="1">
      <c r="K1294" s="358"/>
      <c r="W1294" s="253"/>
      <c r="X1294" s="358" t="s">
        <v>2055</v>
      </c>
      <c r="AE1294" s="370">
        <f t="shared" si="173"/>
        <v>0</v>
      </c>
    </row>
    <row r="1295" spans="6:31" ht="20.25" customHeight="1">
      <c r="K1295" s="358"/>
      <c r="W1295" s="253"/>
      <c r="AE1295" s="370">
        <f t="shared" si="173"/>
        <v>0</v>
      </c>
    </row>
    <row r="1296" spans="6:31" ht="20.25" customHeight="1">
      <c r="K1296" s="358"/>
      <c r="M1296" s="253"/>
      <c r="N1296" s="252" t="s">
        <v>2251</v>
      </c>
      <c r="O1296" s="296" t="s">
        <v>6106</v>
      </c>
      <c r="Q1296" s="253"/>
      <c r="S1296" s="375">
        <v>15.1</v>
      </c>
      <c r="T1296" s="252" t="s">
        <v>1757</v>
      </c>
      <c r="U1296" s="296" t="s">
        <v>6107</v>
      </c>
      <c r="W1296" s="253"/>
      <c r="AE1296" s="370">
        <f t="shared" si="173"/>
        <v>0</v>
      </c>
    </row>
    <row r="1297" spans="6:31" ht="20.25" customHeight="1">
      <c r="K1297" s="358"/>
      <c r="O1297" s="296" t="s">
        <v>1524</v>
      </c>
      <c r="Q1297" s="253"/>
      <c r="S1297" s="252"/>
      <c r="U1297" s="296" t="s">
        <v>2281</v>
      </c>
      <c r="W1297" s="253"/>
      <c r="AE1297" s="370">
        <f t="shared" si="173"/>
        <v>0</v>
      </c>
    </row>
    <row r="1298" spans="6:31" ht="20.25" customHeight="1">
      <c r="F1298" s="253" t="s">
        <v>207</v>
      </c>
      <c r="G1298" s="252" t="s">
        <v>2251</v>
      </c>
      <c r="H1298" s="296" t="s">
        <v>1922</v>
      </c>
      <c r="O1298" s="276" t="s">
        <v>6108</v>
      </c>
      <c r="Q1298" s="253"/>
      <c r="S1298" s="252">
        <v>10</v>
      </c>
      <c r="T1298" s="252" t="s">
        <v>2283</v>
      </c>
      <c r="U1298" s="296" t="s">
        <v>6109</v>
      </c>
      <c r="V1298" s="362">
        <v>1626</v>
      </c>
      <c r="W1298" s="253" t="s">
        <v>2283</v>
      </c>
      <c r="X1298" s="252">
        <f t="shared" ref="X1298:X1304" si="174">(S1298*V1298)</f>
        <v>16260</v>
      </c>
      <c r="AE1298" s="370">
        <f t="shared" si="173"/>
        <v>0</v>
      </c>
    </row>
    <row r="1299" spans="6:31" ht="20.25" customHeight="1">
      <c r="H1299" s="296" t="s">
        <v>2233</v>
      </c>
      <c r="O1299" s="358" t="s">
        <v>1586</v>
      </c>
      <c r="Q1299" s="253"/>
      <c r="S1299" s="252">
        <v>0.21</v>
      </c>
      <c r="T1299" s="252" t="s">
        <v>869</v>
      </c>
      <c r="U1299" s="296" t="s">
        <v>784</v>
      </c>
      <c r="V1299" s="407">
        <f>P1333</f>
        <v>4756.78</v>
      </c>
      <c r="W1299" s="253" t="s">
        <v>869</v>
      </c>
      <c r="X1299" s="252">
        <f t="shared" si="174"/>
        <v>998.92</v>
      </c>
      <c r="AE1299" s="370">
        <f t="shared" si="173"/>
        <v>0</v>
      </c>
    </row>
    <row r="1300" spans="6:31" ht="20.25"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0.25" customHeight="1">
      <c r="H1301" s="296" t="s">
        <v>6110</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0.25"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0.25" customHeight="1">
      <c r="F1303" s="252">
        <v>0.24</v>
      </c>
      <c r="G1303" s="252" t="s">
        <v>869</v>
      </c>
      <c r="H1303" s="296" t="s">
        <v>1691</v>
      </c>
      <c r="I1303" s="252">
        <f>(C70)</f>
        <v>1092.6099999999999</v>
      </c>
      <c r="J1303" s="296" t="s">
        <v>869</v>
      </c>
      <c r="K1303" s="252">
        <f>(F1303*I1303)</f>
        <v>262.23</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0.25"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0.25"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0.25"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0</v>
      </c>
      <c r="Q1306" s="252" t="s">
        <v>2283</v>
      </c>
      <c r="R1306" s="252">
        <f t="shared" si="175"/>
        <v>0</v>
      </c>
      <c r="S1306" s="252"/>
      <c r="U1306" s="253" t="s">
        <v>407</v>
      </c>
      <c r="V1306" s="407"/>
      <c r="W1306" s="253"/>
      <c r="X1306" s="252">
        <f>SUM(X1298:X1304)</f>
        <v>23524.720000000001</v>
      </c>
      <c r="AE1306" s="370">
        <f t="shared" si="173"/>
        <v>0</v>
      </c>
    </row>
    <row r="1307" spans="6:31" ht="20.25"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0.25" customHeight="1">
      <c r="G1308" s="252" t="s">
        <v>449</v>
      </c>
      <c r="H1308" s="296" t="s">
        <v>450</v>
      </c>
      <c r="J1308" s="296" t="s">
        <v>449</v>
      </c>
      <c r="K1308" s="252">
        <v>0</v>
      </c>
      <c r="Q1308" s="253"/>
      <c r="R1308" s="358" t="s">
        <v>1586</v>
      </c>
      <c r="S1308" s="252"/>
      <c r="U1308" s="253" t="s">
        <v>411</v>
      </c>
      <c r="W1308" s="253"/>
      <c r="X1308" s="274">
        <f>X1306/10</f>
        <v>2352.4699999999998</v>
      </c>
      <c r="AE1308" s="370">
        <f t="shared" si="173"/>
        <v>0</v>
      </c>
    </row>
    <row r="1309" spans="6:31" ht="20.25" customHeight="1">
      <c r="K1309" s="358" t="s">
        <v>1586</v>
      </c>
      <c r="O1309" s="296" t="s">
        <v>441</v>
      </c>
      <c r="Q1309" s="253"/>
      <c r="R1309" s="252">
        <f>SUM(R1300:R1307)</f>
        <v>2556.15</v>
      </c>
      <c r="S1309" s="252"/>
      <c r="U1309" s="296" t="s">
        <v>386</v>
      </c>
      <c r="W1309" s="253">
        <f>X1313+Y1308</f>
        <v>2354.69</v>
      </c>
      <c r="X1309" s="252">
        <f>X1308+Y1306</f>
        <v>2352.4699999999998</v>
      </c>
      <c r="AE1309" s="370">
        <f t="shared" si="173"/>
        <v>0</v>
      </c>
    </row>
    <row r="1310" spans="6:31" ht="20.25" customHeight="1">
      <c r="H1310" s="296" t="s">
        <v>441</v>
      </c>
      <c r="K1310" s="252">
        <f>SUM(K1303:K1308)</f>
        <v>4480.71</v>
      </c>
      <c r="Q1310" s="253"/>
      <c r="R1310" s="358" t="s">
        <v>1586</v>
      </c>
      <c r="S1310" s="252"/>
      <c r="U1310" s="296" t="s">
        <v>388</v>
      </c>
      <c r="W1310" s="253">
        <f>W1309+Y1308</f>
        <v>2354.69</v>
      </c>
      <c r="X1310" s="252">
        <f>X1309+1.11</f>
        <v>2353.58</v>
      </c>
      <c r="AE1310" s="370">
        <f t="shared" si="173"/>
        <v>0</v>
      </c>
    </row>
    <row r="1311" spans="6:31" ht="20.25" customHeight="1">
      <c r="K1311" s="358" t="s">
        <v>1586</v>
      </c>
      <c r="O1311" s="276" t="s">
        <v>552</v>
      </c>
      <c r="Q1311" s="253"/>
      <c r="R1311" s="274">
        <f>(R1309/10)</f>
        <v>255.62</v>
      </c>
      <c r="S1311" s="252"/>
      <c r="U1311" s="296" t="s">
        <v>2232</v>
      </c>
      <c r="W1311" s="253"/>
      <c r="X1311" s="252">
        <f>X1310+1.11</f>
        <v>2354.69</v>
      </c>
      <c r="AE1311" s="370">
        <f t="shared" si="173"/>
        <v>0</v>
      </c>
    </row>
    <row r="1312" spans="6:31" ht="20.25" customHeight="1">
      <c r="H1312" s="255" t="s">
        <v>552</v>
      </c>
      <c r="K1312" s="274">
        <f>(K1310/10)</f>
        <v>448.07</v>
      </c>
      <c r="M1312" s="296" t="s">
        <v>975</v>
      </c>
      <c r="Q1312" s="253"/>
      <c r="S1312" s="252"/>
      <c r="U1312" s="296" t="s">
        <v>380</v>
      </c>
      <c r="W1312" s="253"/>
      <c r="X1312" s="252">
        <f>X1311+Y1308</f>
        <v>2354.69</v>
      </c>
      <c r="AE1312" s="370">
        <f t="shared" si="173"/>
        <v>0</v>
      </c>
    </row>
    <row r="1313" spans="6:31" ht="20.25" customHeight="1">
      <c r="F1313" s="296" t="s">
        <v>975</v>
      </c>
      <c r="Q1313" s="253"/>
      <c r="R1313" s="358" t="s">
        <v>2055</v>
      </c>
      <c r="S1313" s="252"/>
      <c r="U1313" s="296" t="s">
        <v>1364</v>
      </c>
      <c r="W1313" s="253"/>
      <c r="X1313" s="252">
        <f>X1312+Y1308</f>
        <v>2354.69</v>
      </c>
      <c r="AE1313" s="370">
        <f t="shared" si="173"/>
        <v>0</v>
      </c>
    </row>
    <row r="1314" spans="6:31" ht="20.25" customHeight="1">
      <c r="K1314" s="358" t="s">
        <v>2055</v>
      </c>
      <c r="Q1314" s="253"/>
      <c r="S1314" s="252"/>
      <c r="W1314" s="253"/>
      <c r="AE1314" s="370">
        <f t="shared" si="173"/>
        <v>0</v>
      </c>
    </row>
    <row r="1315" spans="6:31" ht="20.25" customHeight="1">
      <c r="M1315" s="253" t="s">
        <v>1374</v>
      </c>
      <c r="N1315" s="252" t="s">
        <v>2251</v>
      </c>
      <c r="O1315" s="296" t="s">
        <v>6112</v>
      </c>
      <c r="Q1315" s="253"/>
      <c r="W1315" s="253"/>
      <c r="AE1315" s="370">
        <f t="shared" si="173"/>
        <v>0</v>
      </c>
    </row>
    <row r="1316" spans="6:31" ht="20.25" customHeight="1">
      <c r="O1316" s="296" t="s">
        <v>1524</v>
      </c>
      <c r="Q1316" s="253"/>
      <c r="S1316" s="375">
        <v>15.1</v>
      </c>
      <c r="T1316" s="252" t="s">
        <v>1757</v>
      </c>
      <c r="U1316" s="296" t="s">
        <v>6113</v>
      </c>
      <c r="W1316" s="253"/>
      <c r="AE1316" s="370">
        <f t="shared" si="173"/>
        <v>0</v>
      </c>
    </row>
    <row r="1317" spans="6:31" ht="20.25" customHeight="1">
      <c r="O1317" s="276" t="s">
        <v>1200</v>
      </c>
      <c r="Q1317" s="253"/>
      <c r="S1317" s="252"/>
      <c r="U1317" s="296" t="s">
        <v>2281</v>
      </c>
      <c r="W1317" s="253"/>
      <c r="AE1317" s="370">
        <f t="shared" si="173"/>
        <v>0</v>
      </c>
    </row>
    <row r="1318" spans="6:31" ht="20.25" customHeight="1">
      <c r="O1318" s="358" t="s">
        <v>1586</v>
      </c>
      <c r="Q1318" s="253"/>
      <c r="S1318" s="252">
        <v>10</v>
      </c>
      <c r="T1318" s="252" t="s">
        <v>2283</v>
      </c>
      <c r="U1318" s="296" t="s">
        <v>6114</v>
      </c>
      <c r="V1318" s="362">
        <f>AB1188</f>
        <v>1737</v>
      </c>
      <c r="W1318" s="253" t="s">
        <v>2283</v>
      </c>
      <c r="X1318" s="252">
        <f>(S1318*V1318)</f>
        <v>17370</v>
      </c>
      <c r="AE1318" s="370">
        <f t="shared" si="173"/>
        <v>0</v>
      </c>
    </row>
    <row r="1319" spans="6:31" ht="20.25" customHeight="1">
      <c r="M1319" s="252">
        <v>1.4</v>
      </c>
      <c r="N1319" s="252" t="s">
        <v>1238</v>
      </c>
      <c r="O1319" s="466" t="s">
        <v>5314</v>
      </c>
      <c r="P1319" s="463">
        <v>295.60000000000002</v>
      </c>
      <c r="Q1319" s="253" t="s">
        <v>1238</v>
      </c>
      <c r="R1319" s="252">
        <f>P1319*M1319</f>
        <v>413.84</v>
      </c>
      <c r="S1319" s="252">
        <v>0.21</v>
      </c>
      <c r="T1319" s="252" t="s">
        <v>869</v>
      </c>
      <c r="U1319" s="296" t="s">
        <v>784</v>
      </c>
      <c r="V1319" s="407">
        <f>V1299</f>
        <v>4756.78</v>
      </c>
      <c r="W1319" s="253" t="s">
        <v>869</v>
      </c>
      <c r="X1319" s="252">
        <f t="shared" ref="X1319:X1324" si="176">(S1319*V1319)</f>
        <v>998.92</v>
      </c>
      <c r="AE1319" s="370">
        <f t="shared" si="173"/>
        <v>0</v>
      </c>
    </row>
    <row r="1320" spans="6:31" ht="20.25" customHeight="1">
      <c r="M1320" s="252">
        <v>0.98</v>
      </c>
      <c r="N1320" s="252" t="s">
        <v>1238</v>
      </c>
      <c r="O1320" s="393" t="s">
        <v>5315</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0.25" customHeight="1">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0.25" customHeight="1">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0.25" customHeight="1">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0.25" customHeight="1">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0.25" customHeight="1">
      <c r="Q1325" s="253"/>
      <c r="R1325" s="358" t="s">
        <v>1586</v>
      </c>
      <c r="S1325" s="252"/>
      <c r="U1325" s="296"/>
      <c r="V1325" s="362">
        <f t="shared" si="177"/>
        <v>0</v>
      </c>
      <c r="W1325" s="253"/>
      <c r="X1325" s="358" t="s">
        <v>1586</v>
      </c>
      <c r="AE1325" s="370">
        <f t="shared" si="173"/>
        <v>0</v>
      </c>
    </row>
    <row r="1326" spans="6:31" ht="20.25" customHeight="1">
      <c r="O1326" s="296" t="s">
        <v>552</v>
      </c>
      <c r="Q1326" s="253"/>
      <c r="R1326" s="274">
        <f>(R1324/10)</f>
        <v>231.43</v>
      </c>
      <c r="S1326" s="252">
        <f>R1326-157</f>
        <v>74.430000000000007</v>
      </c>
      <c r="U1326" s="253" t="s">
        <v>407</v>
      </c>
      <c r="W1326" s="253"/>
      <c r="X1326" s="252">
        <f>SUM(X1318:X1324)</f>
        <v>24634.720000000001</v>
      </c>
      <c r="AE1326" s="370">
        <f t="shared" si="173"/>
        <v>0</v>
      </c>
    </row>
    <row r="1327" spans="6:31" ht="20.25" customHeight="1">
      <c r="M1327" s="296" t="s">
        <v>975</v>
      </c>
      <c r="Q1327" s="253"/>
      <c r="S1327" s="252"/>
      <c r="W1327" s="253"/>
      <c r="X1327" s="358" t="s">
        <v>1586</v>
      </c>
      <c r="AE1327" s="370">
        <f t="shared" si="173"/>
        <v>0</v>
      </c>
    </row>
    <row r="1328" spans="6:31" ht="20.25" customHeight="1">
      <c r="Q1328" s="253"/>
      <c r="R1328" s="358" t="s">
        <v>2055</v>
      </c>
      <c r="S1328" s="252"/>
      <c r="U1328" s="253" t="s">
        <v>411</v>
      </c>
      <c r="W1328" s="253"/>
      <c r="X1328" s="274">
        <f>X1326/10</f>
        <v>2463.4699999999998</v>
      </c>
      <c r="AE1328" s="370">
        <f t="shared" si="173"/>
        <v>0</v>
      </c>
    </row>
    <row r="1329" spans="6:31" ht="20.25" customHeight="1">
      <c r="Q1329" s="253"/>
      <c r="W1329" s="253"/>
      <c r="AE1329" s="370">
        <f t="shared" si="173"/>
        <v>0</v>
      </c>
    </row>
    <row r="1330" spans="6:31" ht="20.25" customHeight="1">
      <c r="M1330" s="375">
        <v>15.1</v>
      </c>
      <c r="N1330" s="252" t="s">
        <v>1757</v>
      </c>
      <c r="O1330" s="296" t="s">
        <v>6113</v>
      </c>
      <c r="Q1330" s="253"/>
      <c r="T1330" s="276" t="s">
        <v>3839</v>
      </c>
      <c r="W1330" s="253"/>
      <c r="AE1330" s="370">
        <f t="shared" si="173"/>
        <v>0</v>
      </c>
    </row>
    <row r="1331" spans="6:31" ht="20.25" customHeight="1">
      <c r="O1331" s="296" t="s">
        <v>2281</v>
      </c>
      <c r="Q1331" s="253"/>
      <c r="S1331" s="252">
        <v>10</v>
      </c>
      <c r="T1331" s="252" t="s">
        <v>609</v>
      </c>
      <c r="U1331" s="296" t="s">
        <v>5316</v>
      </c>
      <c r="V1331" s="362">
        <v>506</v>
      </c>
      <c r="W1331" s="253" t="s">
        <v>609</v>
      </c>
      <c r="X1331" s="252">
        <f>(S1331*V1331)</f>
        <v>5060</v>
      </c>
      <c r="Z1331" s="252">
        <v>9</v>
      </c>
      <c r="AA1331" s="252" t="s">
        <v>3651</v>
      </c>
      <c r="AB1331" s="252">
        <f>AC44</f>
        <v>1170.44</v>
      </c>
      <c r="AC1331" s="252">
        <f>AB1331*Z1331</f>
        <v>10533.96</v>
      </c>
      <c r="AE1331" s="370">
        <f t="shared" si="173"/>
        <v>0</v>
      </c>
    </row>
    <row r="1332" spans="6:31" ht="20.25" customHeight="1">
      <c r="M1332" s="252">
        <v>10</v>
      </c>
      <c r="N1332" s="252" t="s">
        <v>2283</v>
      </c>
      <c r="O1332" s="467" t="s">
        <v>6115</v>
      </c>
      <c r="P1332" s="362">
        <v>1626</v>
      </c>
      <c r="Q1332" s="253" t="s">
        <v>2283</v>
      </c>
      <c r="R1332" s="252">
        <f>(M1332*P1332)</f>
        <v>16260</v>
      </c>
      <c r="S1332" s="252">
        <v>0.21</v>
      </c>
      <c r="T1332" s="252" t="s">
        <v>869</v>
      </c>
      <c r="U1332" s="296" t="s">
        <v>1876</v>
      </c>
      <c r="V1332" s="252">
        <f>P1333</f>
        <v>4756.78</v>
      </c>
      <c r="W1332" s="253" t="s">
        <v>869</v>
      </c>
      <c r="X1332" s="252">
        <f>(S1332*V1332)</f>
        <v>998.92</v>
      </c>
      <c r="Z1332" s="252">
        <v>4.5</v>
      </c>
      <c r="AA1332" s="296" t="s">
        <v>417</v>
      </c>
      <c r="AB1332" s="252">
        <f>K23</f>
        <v>6206.38</v>
      </c>
      <c r="AC1332" s="252">
        <f>AB1332*Z1332</f>
        <v>27928.71</v>
      </c>
      <c r="AE1332" s="370">
        <f t="shared" si="173"/>
        <v>0</v>
      </c>
    </row>
    <row r="1333" spans="6:31" ht="20.25" customHeight="1">
      <c r="G1333" s="252" t="s">
        <v>675</v>
      </c>
      <c r="H1333" s="296" t="s">
        <v>752</v>
      </c>
      <c r="M1333" s="252">
        <v>0.12</v>
      </c>
      <c r="N1333" s="252" t="s">
        <v>869</v>
      </c>
      <c r="O1333" s="296" t="s">
        <v>784</v>
      </c>
      <c r="P1333" s="252">
        <f>K32</f>
        <v>4756.78</v>
      </c>
      <c r="Q1333" s="253" t="s">
        <v>869</v>
      </c>
      <c r="R1333" s="252">
        <f>(M1333*P1333)</f>
        <v>570.80999999999995</v>
      </c>
      <c r="S1333" s="252">
        <v>10</v>
      </c>
      <c r="U1333" s="296" t="s">
        <v>3840</v>
      </c>
      <c r="V1333" s="407">
        <f>K1344</f>
        <v>315.36</v>
      </c>
      <c r="W1333" s="253"/>
      <c r="X1333" s="252">
        <f>(S1333*V1333)</f>
        <v>3153.6</v>
      </c>
      <c r="Z1333" s="252">
        <v>1.8</v>
      </c>
      <c r="AA1333" s="296" t="s">
        <v>1712</v>
      </c>
      <c r="AB1333" s="252">
        <f>V1335</f>
        <v>932</v>
      </c>
      <c r="AC1333" s="252">
        <f>AB1333*Z1333</f>
        <v>1677.6</v>
      </c>
      <c r="AE1333" s="370">
        <f t="shared" si="173"/>
        <v>0</v>
      </c>
    </row>
    <row r="1334" spans="6:31" ht="20.2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20.25" customHeight="1">
      <c r="H1335" s="358" t="s">
        <v>1586</v>
      </c>
      <c r="L1335" s="252">
        <f>SUM(K1355:K1360)</f>
        <v>8295.06</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0.25" customHeight="1">
      <c r="F1336" s="252">
        <v>0.04</v>
      </c>
      <c r="G1336" s="252" t="s">
        <v>869</v>
      </c>
      <c r="H1336" s="296" t="s">
        <v>754</v>
      </c>
      <c r="I1336" s="252">
        <f>(K32)</f>
        <v>4756.78</v>
      </c>
      <c r="J1336" s="296" t="s">
        <v>869</v>
      </c>
      <c r="K1336" s="252">
        <f>(F1336*I1336)</f>
        <v>190.27</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59192.37</v>
      </c>
      <c r="AE1336" s="370">
        <f t="shared" si="173"/>
        <v>0</v>
      </c>
    </row>
    <row r="1337" spans="6:31" ht="20.25" customHeight="1">
      <c r="F1337" s="252">
        <v>2.2000000000000002</v>
      </c>
      <c r="G1337" s="252" t="s">
        <v>769</v>
      </c>
      <c r="H1337" s="296" t="s">
        <v>1712</v>
      </c>
      <c r="I1337" s="252">
        <f>(C11)</f>
        <v>932</v>
      </c>
      <c r="J1337" s="296" t="s">
        <v>769</v>
      </c>
      <c r="K1337" s="252">
        <f>(F1337*I1337)</f>
        <v>2050.4</v>
      </c>
      <c r="L1337" s="252">
        <f>SUM(K1355:K1360)</f>
        <v>8295.06</v>
      </c>
      <c r="O1337" s="296" t="s">
        <v>931</v>
      </c>
      <c r="Q1337" s="253"/>
      <c r="R1337" s="358" t="s">
        <v>1586</v>
      </c>
      <c r="S1337" s="252">
        <v>1.1000000000000001</v>
      </c>
      <c r="T1337" s="400" t="s">
        <v>769</v>
      </c>
      <c r="U1337" s="296" t="s">
        <v>320</v>
      </c>
      <c r="V1337" s="252">
        <f>AE12</f>
        <v>534</v>
      </c>
      <c r="W1337" s="253" t="s">
        <v>769</v>
      </c>
      <c r="X1337" s="252">
        <f t="shared" si="178"/>
        <v>587.4</v>
      </c>
      <c r="AC1337" s="252">
        <f>AC1336/10</f>
        <v>5919.24</v>
      </c>
      <c r="AE1337" s="370">
        <f t="shared" si="173"/>
        <v>0</v>
      </c>
    </row>
    <row r="1338" spans="6:31" ht="20.25" customHeight="1">
      <c r="F1338" s="252">
        <v>0.5</v>
      </c>
      <c r="G1338" s="252" t="s">
        <v>769</v>
      </c>
      <c r="H1338" s="296" t="s">
        <v>1902</v>
      </c>
      <c r="I1338" s="252">
        <f>(C12)</f>
        <v>651</v>
      </c>
      <c r="J1338" s="296" t="s">
        <v>769</v>
      </c>
      <c r="K1338" s="252">
        <f>(F1338*I1338)</f>
        <v>325.5</v>
      </c>
      <c r="O1338" s="253" t="s">
        <v>407</v>
      </c>
      <c r="Q1338" s="253"/>
      <c r="R1338" s="252">
        <f>SUM(R1332:R1336)</f>
        <v>18481.14</v>
      </c>
      <c r="S1338" s="356">
        <v>6.5</v>
      </c>
      <c r="T1338" s="400" t="s">
        <v>1645</v>
      </c>
      <c r="U1338" s="296" t="s">
        <v>3652</v>
      </c>
      <c r="V1338" s="314">
        <v>17.18</v>
      </c>
      <c r="W1338" s="253" t="s">
        <v>861</v>
      </c>
      <c r="X1338" s="252">
        <f t="shared" si="178"/>
        <v>111.67</v>
      </c>
      <c r="AE1338" s="370">
        <f t="shared" si="173"/>
        <v>0</v>
      </c>
    </row>
    <row r="1339" spans="6:31" ht="20.25"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0.25" customHeight="1">
      <c r="G1340" s="252" t="s">
        <v>449</v>
      </c>
      <c r="H1340" s="296" t="s">
        <v>450</v>
      </c>
      <c r="J1340" s="296" t="s">
        <v>449</v>
      </c>
      <c r="K1340" s="252">
        <v>0</v>
      </c>
      <c r="O1340" s="253" t="s">
        <v>411</v>
      </c>
      <c r="Q1340" s="253"/>
      <c r="R1340" s="274">
        <f>R1338/10</f>
        <v>1848.11</v>
      </c>
      <c r="S1340" s="252">
        <v>2.15</v>
      </c>
      <c r="T1340" s="400" t="s">
        <v>769</v>
      </c>
      <c r="U1340" s="296" t="s">
        <v>3653</v>
      </c>
      <c r="V1340" s="314">
        <v>45.8</v>
      </c>
      <c r="W1340" s="253" t="s">
        <v>769</v>
      </c>
      <c r="X1340" s="252">
        <f t="shared" si="178"/>
        <v>98.47</v>
      </c>
      <c r="AE1340" s="370">
        <f t="shared" si="173"/>
        <v>0</v>
      </c>
    </row>
    <row r="1341" spans="6:31" ht="20.25" customHeight="1">
      <c r="K1341" s="358" t="s">
        <v>1586</v>
      </c>
      <c r="O1341" s="296" t="s">
        <v>386</v>
      </c>
      <c r="Q1341" s="253">
        <f>R1345+S1302</f>
        <v>1857.14</v>
      </c>
      <c r="R1341" s="252">
        <f>R1340+S1299</f>
        <v>1848.32</v>
      </c>
      <c r="S1341" s="252">
        <v>0.4</v>
      </c>
      <c r="T1341" s="400" t="s">
        <v>769</v>
      </c>
      <c r="U1341" s="296" t="s">
        <v>3741</v>
      </c>
      <c r="V1341" s="252">
        <f>AC1337</f>
        <v>5919.24</v>
      </c>
      <c r="W1341" s="253" t="s">
        <v>769</v>
      </c>
      <c r="X1341" s="252">
        <f t="shared" si="178"/>
        <v>2367.6999999999998</v>
      </c>
      <c r="AE1341" s="370">
        <f t="shared" si="173"/>
        <v>0</v>
      </c>
    </row>
    <row r="1342" spans="6:31" ht="20.25" customHeight="1">
      <c r="H1342" s="296" t="s">
        <v>441</v>
      </c>
      <c r="K1342" s="252">
        <f>SUM(K1336:K1340)</f>
        <v>3153.57</v>
      </c>
      <c r="O1342" s="296" t="s">
        <v>388</v>
      </c>
      <c r="Q1342" s="253">
        <f>Q1341+S1302</f>
        <v>1859.34</v>
      </c>
      <c r="R1342" s="252">
        <f>R1341+1.11</f>
        <v>1849.43</v>
      </c>
      <c r="S1342" s="252"/>
      <c r="T1342" s="400"/>
      <c r="U1342" s="296"/>
      <c r="W1342" s="253" t="s">
        <v>769</v>
      </c>
      <c r="X1342" s="252">
        <f>(S1342*V1342)</f>
        <v>0</v>
      </c>
      <c r="AE1342" s="370">
        <f t="shared" ref="AE1342:AE1405" si="179">AG1342</f>
        <v>0</v>
      </c>
    </row>
    <row r="1343" spans="6:31" ht="20.25" customHeight="1">
      <c r="K1343" s="358" t="s">
        <v>1586</v>
      </c>
      <c r="O1343" s="296" t="s">
        <v>2232</v>
      </c>
      <c r="Q1343" s="253"/>
      <c r="R1343" s="252">
        <f>R1342+1.11</f>
        <v>1850.54</v>
      </c>
      <c r="S1343" s="252"/>
      <c r="T1343" s="400" t="s">
        <v>449</v>
      </c>
      <c r="U1343" s="296" t="s">
        <v>450</v>
      </c>
      <c r="W1343" s="253" t="s">
        <v>449</v>
      </c>
      <c r="X1343" s="252">
        <v>0.8</v>
      </c>
      <c r="AE1343" s="370">
        <f t="shared" si="179"/>
        <v>0</v>
      </c>
    </row>
    <row r="1344" spans="6:31" ht="20.25" customHeight="1">
      <c r="H1344" s="255" t="s">
        <v>552</v>
      </c>
      <c r="K1344" s="274">
        <f>(K1342/10)</f>
        <v>315.36</v>
      </c>
      <c r="O1344" s="296" t="s">
        <v>380</v>
      </c>
      <c r="Q1344" s="253"/>
      <c r="R1344" s="252">
        <f>R1343+S1302</f>
        <v>1852.74</v>
      </c>
      <c r="S1344" s="252"/>
      <c r="T1344" s="400"/>
      <c r="W1344" s="253"/>
      <c r="X1344" s="358" t="s">
        <v>1586</v>
      </c>
      <c r="AE1344" s="370">
        <f t="shared" si="179"/>
        <v>0</v>
      </c>
    </row>
    <row r="1345" spans="6:31" ht="20.25" customHeight="1">
      <c r="K1345" s="358" t="s">
        <v>2055</v>
      </c>
      <c r="O1345" s="296" t="s">
        <v>1364</v>
      </c>
      <c r="Q1345" s="253"/>
      <c r="R1345" s="252">
        <f>R1344+S1302</f>
        <v>1854.94</v>
      </c>
      <c r="S1345" s="252"/>
      <c r="T1345" s="400"/>
      <c r="U1345" s="296" t="s">
        <v>441</v>
      </c>
      <c r="W1345" s="253"/>
      <c r="X1345" s="252">
        <f>SUM(X1331:X1344)</f>
        <v>16948.61</v>
      </c>
      <c r="AE1345" s="370">
        <f t="shared" si="179"/>
        <v>0</v>
      </c>
    </row>
    <row r="1346" spans="6:31" ht="20.25" customHeight="1">
      <c r="Q1346" s="253"/>
      <c r="S1346" s="252"/>
      <c r="T1346" s="400"/>
      <c r="W1346" s="253"/>
      <c r="X1346" s="358" t="s">
        <v>1586</v>
      </c>
      <c r="AE1346" s="370">
        <f t="shared" si="179"/>
        <v>0</v>
      </c>
    </row>
    <row r="1347" spans="6:31" ht="20.25" customHeight="1">
      <c r="F1347" s="375">
        <v>32.1</v>
      </c>
      <c r="G1347" s="252" t="s">
        <v>2251</v>
      </c>
      <c r="H1347" s="296" t="s">
        <v>755</v>
      </c>
      <c r="Q1347" s="296"/>
      <c r="S1347" s="252"/>
      <c r="T1347" s="400"/>
      <c r="U1347" s="296" t="s">
        <v>552</v>
      </c>
      <c r="W1347" s="253"/>
      <c r="X1347" s="274">
        <f>(X1345/10)</f>
        <v>1694.86</v>
      </c>
      <c r="Y1347" s="252">
        <f>0.8-0.77</f>
        <v>0.03</v>
      </c>
      <c r="AE1347" s="370">
        <f t="shared" si="179"/>
        <v>0</v>
      </c>
    </row>
    <row r="1348" spans="6:31" ht="20.25" customHeight="1">
      <c r="H1348" s="296" t="s">
        <v>1483</v>
      </c>
      <c r="Q1348" s="296"/>
      <c r="S1348" s="252"/>
      <c r="T1348" s="400"/>
      <c r="W1348" s="253"/>
      <c r="X1348" s="358" t="s">
        <v>2055</v>
      </c>
      <c r="AE1348" s="370">
        <f t="shared" si="179"/>
        <v>0</v>
      </c>
    </row>
    <row r="1349" spans="6:31" ht="20.25" customHeight="1">
      <c r="H1349" s="296" t="s">
        <v>683</v>
      </c>
      <c r="Q1349" s="296"/>
      <c r="W1349" s="253"/>
      <c r="AE1349" s="370">
        <f t="shared" si="179"/>
        <v>0</v>
      </c>
    </row>
    <row r="1350" spans="6:31" ht="20.25"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0.25"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0.25"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0.25" customHeight="1">
      <c r="F1353" s="252">
        <v>190</v>
      </c>
      <c r="G1353" s="252" t="s">
        <v>1873</v>
      </c>
      <c r="H1353" s="296" t="s">
        <v>3882</v>
      </c>
      <c r="I1353" s="252">
        <f>(C83)</f>
        <v>16106</v>
      </c>
      <c r="J1353" s="296" t="s">
        <v>1481</v>
      </c>
      <c r="K1353" s="252">
        <f>(F1353*I1353)/1000</f>
        <v>3060.14</v>
      </c>
      <c r="M1353" s="252">
        <v>70</v>
      </c>
      <c r="N1353" s="252" t="s">
        <v>826</v>
      </c>
      <c r="O1353" s="468" t="s">
        <v>5317</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0.25" customHeight="1">
      <c r="F1354" s="252">
        <v>0.12</v>
      </c>
      <c r="G1354" s="252" t="s">
        <v>869</v>
      </c>
      <c r="H1354" s="296" t="s">
        <v>1876</v>
      </c>
      <c r="I1354" s="252">
        <f>(K32)</f>
        <v>4756.78</v>
      </c>
      <c r="J1354" s="296" t="s">
        <v>869</v>
      </c>
      <c r="K1354" s="252">
        <f t="shared" ref="K1354:K1360" si="184">(F1354*I1354)</f>
        <v>570.80999999999995</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0.25" customHeight="1">
      <c r="F1355" s="252">
        <v>10</v>
      </c>
      <c r="G1355" s="252" t="s">
        <v>609</v>
      </c>
      <c r="H1355" s="296" t="s">
        <v>1295</v>
      </c>
      <c r="I1355" s="252">
        <f>(K1344)</f>
        <v>315.36</v>
      </c>
      <c r="J1355" s="296" t="s">
        <v>609</v>
      </c>
      <c r="K1355" s="252">
        <f t="shared" si="184"/>
        <v>3153.6</v>
      </c>
      <c r="M1355" s="252">
        <v>0.3</v>
      </c>
      <c r="N1355" s="252" t="s">
        <v>2151</v>
      </c>
      <c r="O1355" s="468" t="s">
        <v>5318</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0.25"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0.25"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0.25"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4036</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0.25"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0.25"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0.25"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0.25"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0.25" customHeight="1">
      <c r="H1363" s="296" t="s">
        <v>441</v>
      </c>
      <c r="K1363" s="252">
        <f>SUM(K1353:K1361)</f>
        <v>11926.01</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0.25" customHeight="1">
      <c r="K1364" s="358" t="s">
        <v>1586</v>
      </c>
      <c r="Q1364" s="253"/>
      <c r="U1364" s="296" t="s">
        <v>1863</v>
      </c>
      <c r="W1364" s="253"/>
      <c r="AE1364" s="370">
        <f t="shared" si="179"/>
        <v>0</v>
      </c>
    </row>
    <row r="1365" spans="6:31" ht="20.25" customHeight="1">
      <c r="H1365" s="255" t="s">
        <v>552</v>
      </c>
      <c r="K1365" s="274">
        <f>(K1363/10)</f>
        <v>1192.5999999999999</v>
      </c>
      <c r="O1365" s="360" t="s">
        <v>1206</v>
      </c>
      <c r="Q1365" s="253"/>
      <c r="R1365" s="274">
        <f>R1363/6</f>
        <v>345.42</v>
      </c>
      <c r="U1365" s="360" t="s">
        <v>3536</v>
      </c>
      <c r="W1365" s="253"/>
      <c r="X1365" s="274">
        <f>SUM(X1352:X1364)</f>
        <v>10349.34</v>
      </c>
      <c r="AE1365" s="370">
        <f t="shared" si="179"/>
        <v>0</v>
      </c>
    </row>
    <row r="1366" spans="6:31" ht="20.25" customHeight="1">
      <c r="K1366" s="358" t="s">
        <v>2055</v>
      </c>
      <c r="Q1366" s="253"/>
      <c r="W1366" s="253"/>
      <c r="AA1366" s="461" t="s">
        <v>3476</v>
      </c>
      <c r="AC1366" s="296"/>
      <c r="AE1366" s="370">
        <f t="shared" si="179"/>
        <v>0</v>
      </c>
    </row>
    <row r="1367" spans="6:31" ht="20.25"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0.25"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0.25"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0.25"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0.25"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0.25"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0.25" customHeight="1">
      <c r="H1373" s="296" t="s">
        <v>1293</v>
      </c>
      <c r="K1373" s="358"/>
      <c r="M1373" s="252">
        <v>0.21</v>
      </c>
      <c r="N1373" s="252" t="s">
        <v>869</v>
      </c>
      <c r="O1373" s="296" t="s">
        <v>1876</v>
      </c>
      <c r="P1373" s="252">
        <f>P1333</f>
        <v>4756.78</v>
      </c>
      <c r="Q1373" s="253" t="s">
        <v>869</v>
      </c>
      <c r="R1373" s="252">
        <f>(M1373*P1373)</f>
        <v>998.92</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0.25"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0.25"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0.25" customHeight="1">
      <c r="F1376" s="252">
        <v>0.12</v>
      </c>
      <c r="G1376" s="252" t="s">
        <v>869</v>
      </c>
      <c r="H1376" s="296" t="s">
        <v>1876</v>
      </c>
      <c r="I1376" s="252">
        <f>K32</f>
        <v>4756.78</v>
      </c>
      <c r="J1376" s="296" t="s">
        <v>869</v>
      </c>
      <c r="K1376" s="252">
        <f t="shared" ref="K1376:K1382" si="189">(F1376*I1376)</f>
        <v>570.80999999999995</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0.25" customHeight="1">
      <c r="F1377" s="252">
        <v>10</v>
      </c>
      <c r="G1377" s="252" t="s">
        <v>609</v>
      </c>
      <c r="H1377" s="296" t="s">
        <v>1295</v>
      </c>
      <c r="I1377" s="252">
        <f>K1344</f>
        <v>315.36</v>
      </c>
      <c r="J1377" s="296" t="s">
        <v>609</v>
      </c>
      <c r="K1377" s="252">
        <f t="shared" si="189"/>
        <v>3153.6</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0.25"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0.25"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0.25"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0.25"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0.25"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0.25"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0.25"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0.25" customHeight="1">
      <c r="H1385" s="296" t="s">
        <v>441</v>
      </c>
      <c r="K1385" s="252">
        <f>SUM(K1375:K1383)</f>
        <v>12107.91</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0.25" customHeight="1">
      <c r="K1386" s="358" t="s">
        <v>1586</v>
      </c>
      <c r="O1386" s="296" t="s">
        <v>441</v>
      </c>
      <c r="Q1386" s="253"/>
      <c r="R1386" s="252">
        <f>SUM(R1372:R1384)</f>
        <v>24587.4</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0.25" customHeight="1">
      <c r="H1387" s="255" t="s">
        <v>552</v>
      </c>
      <c r="K1387" s="274">
        <f>(K1385/10)</f>
        <v>1210.79</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0.25" customHeight="1">
      <c r="K1388" s="358" t="s">
        <v>2055</v>
      </c>
      <c r="O1388" s="296" t="s">
        <v>552</v>
      </c>
      <c r="Q1388" s="253"/>
      <c r="R1388" s="252">
        <f>(R1386/10)</f>
        <v>2458.7399999999998</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0.25"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0.25"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0.25" customHeight="1">
      <c r="H1391" s="358" t="s">
        <v>1586</v>
      </c>
      <c r="M1391" s="316">
        <v>4.1849999999999996</v>
      </c>
      <c r="N1391" s="252" t="s">
        <v>913</v>
      </c>
      <c r="O1391" s="393" t="s">
        <v>5319</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0.25" customHeight="1">
      <c r="F1392" s="252">
        <v>0.14000000000000001</v>
      </c>
      <c r="G1392" s="252" t="s">
        <v>869</v>
      </c>
      <c r="H1392" s="296" t="s">
        <v>1625</v>
      </c>
      <c r="I1392" s="252">
        <f>(K49)</f>
        <v>3597.1</v>
      </c>
      <c r="J1392" s="296" t="s">
        <v>869</v>
      </c>
      <c r="K1392" s="252">
        <f>(F1392*I1392)</f>
        <v>503.59</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0.25"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0.25"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0.25"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0.25" customHeight="1">
      <c r="G1396" s="252" t="s">
        <v>449</v>
      </c>
      <c r="H1396" s="296" t="s">
        <v>450</v>
      </c>
      <c r="I1396" s="296" t="s">
        <v>975</v>
      </c>
      <c r="J1396" s="296" t="s">
        <v>449</v>
      </c>
      <c r="K1396" s="252">
        <v>5</v>
      </c>
      <c r="M1396" s="316">
        <v>12.144</v>
      </c>
      <c r="N1396" s="252" t="s">
        <v>826</v>
      </c>
      <c r="O1396" s="393" t="s">
        <v>4602</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0.25" customHeight="1">
      <c r="K1397" s="358" t="s">
        <v>1586</v>
      </c>
      <c r="M1397" s="316">
        <v>12</v>
      </c>
      <c r="N1397" s="252" t="s">
        <v>769</v>
      </c>
      <c r="O1397" s="393" t="s">
        <v>4603</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0.25" customHeight="1">
      <c r="H1398" s="296" t="s">
        <v>441</v>
      </c>
      <c r="K1398" s="252">
        <f>SUM(K1392:K1397)</f>
        <v>2520.39</v>
      </c>
      <c r="M1398" s="316">
        <v>6</v>
      </c>
      <c r="N1398" s="252" t="s">
        <v>769</v>
      </c>
      <c r="O1398" s="393" t="s">
        <v>4264</v>
      </c>
      <c r="P1398" s="252">
        <f>P1094</f>
        <v>57.65</v>
      </c>
      <c r="Q1398" s="252" t="s">
        <v>769</v>
      </c>
      <c r="R1398" s="252">
        <f t="shared" si="194"/>
        <v>345.9</v>
      </c>
      <c r="U1398" s="296" t="s">
        <v>1863</v>
      </c>
      <c r="W1398" s="253"/>
      <c r="AE1398" s="370">
        <f t="shared" si="179"/>
        <v>0</v>
      </c>
    </row>
    <row r="1399" spans="6:31" ht="20.25"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0.25" customHeight="1">
      <c r="H1400" s="255" t="s">
        <v>552</v>
      </c>
      <c r="K1400" s="274">
        <f>(K1398/10)</f>
        <v>252.04</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0.25"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0.25"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0.25"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0.25"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0.25" customHeight="1">
      <c r="F1405" s="252">
        <v>0.14000000000000001</v>
      </c>
      <c r="G1405" s="252" t="s">
        <v>869</v>
      </c>
      <c r="H1405" s="296" t="s">
        <v>1307</v>
      </c>
      <c r="I1405" s="252">
        <f>(K40)</f>
        <v>4031.98</v>
      </c>
      <c r="J1405" s="296" t="s">
        <v>869</v>
      </c>
      <c r="K1405" s="252">
        <f>(F1405*I1405)</f>
        <v>564.48</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0.25"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0.25"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0.25" customHeight="1">
      <c r="F1408" s="252">
        <v>1.1000000000000001</v>
      </c>
      <c r="G1408" s="252" t="s">
        <v>868</v>
      </c>
      <c r="H1408" s="296" t="s">
        <v>320</v>
      </c>
      <c r="I1408" s="252">
        <f>(C13)</f>
        <v>534</v>
      </c>
      <c r="J1408" s="296" t="s">
        <v>868</v>
      </c>
      <c r="K1408" s="252">
        <f>(F1408*I1408)</f>
        <v>587.4</v>
      </c>
      <c r="M1408" s="316">
        <v>3.95</v>
      </c>
      <c r="N1408" s="252" t="s">
        <v>913</v>
      </c>
      <c r="O1408" s="393" t="s">
        <v>4262</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0.25"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0.25"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0.25"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0.25" customHeight="1">
      <c r="H1412" s="296" t="s">
        <v>441</v>
      </c>
      <c r="K1412" s="252">
        <f>SUM(K1405:K1409)</f>
        <v>2581.2800000000002</v>
      </c>
      <c r="L1412" s="252">
        <f>SUM(K1433:K1436)</f>
        <v>2677.75</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0.25" customHeight="1">
      <c r="K1413" s="358" t="s">
        <v>1586</v>
      </c>
      <c r="M1413" s="316">
        <v>9.2720000000000002</v>
      </c>
      <c r="N1413" s="252" t="s">
        <v>826</v>
      </c>
      <c r="O1413" s="393" t="s">
        <v>4265</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0.25" customHeight="1">
      <c r="H1414" s="255" t="s">
        <v>552</v>
      </c>
      <c r="K1414" s="274">
        <f>(K1412/10)</f>
        <v>258.13</v>
      </c>
      <c r="M1414" s="316">
        <v>8</v>
      </c>
      <c r="N1414" s="252" t="s">
        <v>769</v>
      </c>
      <c r="O1414" s="393" t="s">
        <v>4263</v>
      </c>
      <c r="P1414" s="252">
        <f t="shared" si="200"/>
        <v>71.900000000000006</v>
      </c>
      <c r="Q1414" s="252" t="s">
        <v>769</v>
      </c>
      <c r="R1414" s="252">
        <f t="shared" si="201"/>
        <v>575.20000000000005</v>
      </c>
      <c r="U1414" s="296" t="s">
        <v>1863</v>
      </c>
      <c r="W1414" s="253"/>
      <c r="X1414" s="252">
        <v>0.09</v>
      </c>
      <c r="AE1414" s="370">
        <f t="shared" si="199"/>
        <v>0</v>
      </c>
    </row>
    <row r="1415" spans="6:31" ht="20.25" customHeight="1">
      <c r="K1415" s="358" t="s">
        <v>2055</v>
      </c>
      <c r="M1415" s="316">
        <v>4</v>
      </c>
      <c r="N1415" s="252" t="s">
        <v>769</v>
      </c>
      <c r="O1415" s="393" t="s">
        <v>4264</v>
      </c>
      <c r="P1415" s="252">
        <f t="shared" si="200"/>
        <v>57.65</v>
      </c>
      <c r="Q1415" s="252" t="s">
        <v>769</v>
      </c>
      <c r="R1415" s="252">
        <f t="shared" si="201"/>
        <v>230.6</v>
      </c>
      <c r="U1415" s="360" t="s">
        <v>3536</v>
      </c>
      <c r="W1415" s="253"/>
      <c r="X1415" s="274">
        <f>SUM(X1402:X1414)</f>
        <v>22899.7</v>
      </c>
      <c r="AE1415" s="370">
        <f t="shared" si="199"/>
        <v>0</v>
      </c>
    </row>
    <row r="1416" spans="6:31" ht="20.25"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0.25"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0.25" customHeight="1">
      <c r="F1418" s="252">
        <v>0.1</v>
      </c>
      <c r="G1418" s="252" t="s">
        <v>869</v>
      </c>
      <c r="H1418" s="296" t="s">
        <v>1353</v>
      </c>
      <c r="I1418" s="252">
        <f>(K32)</f>
        <v>4756.78</v>
      </c>
      <c r="J1418" s="296" t="s">
        <v>869</v>
      </c>
      <c r="K1418" s="252">
        <f>(F1418*I1418)</f>
        <v>475.68</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0.25"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0.25"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0.25"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0.25"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0.25"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0.25" customHeight="1">
      <c r="H1424" s="296" t="s">
        <v>441</v>
      </c>
      <c r="K1424" s="252">
        <f>SUM(K1418:K1422)</f>
        <v>2878.08</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0.25" customHeight="1">
      <c r="H1425" s="253"/>
      <c r="K1425" s="358" t="s">
        <v>1586</v>
      </c>
      <c r="M1425" s="316">
        <v>2.79</v>
      </c>
      <c r="N1425" s="252" t="s">
        <v>913</v>
      </c>
      <c r="O1425" s="393" t="s">
        <v>4262</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0.25" customHeight="1">
      <c r="H1426" s="255" t="s">
        <v>552</v>
      </c>
      <c r="I1426" s="274"/>
      <c r="J1426" s="276"/>
      <c r="K1426" s="274">
        <f>(K1424/10)</f>
        <v>287.81</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0.25"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0.25"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0.25"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0.25" customHeight="1">
      <c r="H1430" s="296" t="s">
        <v>843</v>
      </c>
      <c r="M1430" s="316">
        <v>3.996</v>
      </c>
      <c r="N1430" s="252" t="s">
        <v>826</v>
      </c>
      <c r="O1430" s="393" t="s">
        <v>4265</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0.25" customHeight="1">
      <c r="H1431" s="296" t="s">
        <v>844</v>
      </c>
      <c r="M1431" s="316">
        <v>4</v>
      </c>
      <c r="N1431" s="252" t="s">
        <v>769</v>
      </c>
      <c r="O1431" s="393" t="s">
        <v>4263</v>
      </c>
      <c r="P1431" s="252">
        <f t="shared" si="205"/>
        <v>71.900000000000006</v>
      </c>
      <c r="Q1431" s="252" t="s">
        <v>769</v>
      </c>
      <c r="R1431" s="252">
        <f t="shared" si="206"/>
        <v>287.60000000000002</v>
      </c>
      <c r="U1431" s="296" t="s">
        <v>1863</v>
      </c>
      <c r="W1431" s="253"/>
      <c r="X1431" s="252">
        <v>0.31</v>
      </c>
      <c r="AE1431" s="370">
        <f t="shared" si="199"/>
        <v>0</v>
      </c>
    </row>
    <row r="1432" spans="6:31" ht="20.25" customHeight="1">
      <c r="H1432" s="358" t="s">
        <v>1586</v>
      </c>
      <c r="M1432" s="316">
        <v>2</v>
      </c>
      <c r="N1432" s="252" t="s">
        <v>769</v>
      </c>
      <c r="O1432" s="393" t="s">
        <v>4264</v>
      </c>
      <c r="P1432" s="252">
        <f t="shared" si="205"/>
        <v>57.65</v>
      </c>
      <c r="Q1432" s="252" t="s">
        <v>769</v>
      </c>
      <c r="R1432" s="252">
        <f t="shared" si="206"/>
        <v>115.3</v>
      </c>
      <c r="U1432" s="360" t="s">
        <v>3536</v>
      </c>
      <c r="W1432" s="253"/>
      <c r="X1432" s="274">
        <f>SUM(X1419:X1431)</f>
        <v>12919.95</v>
      </c>
      <c r="AE1432" s="370">
        <f t="shared" si="199"/>
        <v>0</v>
      </c>
    </row>
    <row r="1433" spans="6:31" ht="20.25" customHeight="1">
      <c r="F1433" s="252">
        <v>0.14000000000000001</v>
      </c>
      <c r="G1433" s="252" t="s">
        <v>869</v>
      </c>
      <c r="H1433" s="296" t="s">
        <v>1353</v>
      </c>
      <c r="I1433" s="252">
        <f>(K32)</f>
        <v>4756.78</v>
      </c>
      <c r="J1433" s="296" t="s">
        <v>869</v>
      </c>
      <c r="K1433" s="252">
        <f>(F1433*I1433)</f>
        <v>665.95</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0.25"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0.25"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0.25"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0.25"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0.25"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0.25" customHeight="1">
      <c r="K1439" s="358" t="s">
        <v>1586</v>
      </c>
      <c r="O1439" s="296"/>
      <c r="Q1439" s="253"/>
      <c r="U1439" s="296"/>
      <c r="W1439" s="253"/>
      <c r="X1439" s="252">
        <f>SUM(X1436:X1438)</f>
        <v>2044.94</v>
      </c>
      <c r="AE1439" s="370">
        <f t="shared" si="199"/>
        <v>0</v>
      </c>
    </row>
    <row r="1440" spans="6:31" ht="20.25" customHeight="1">
      <c r="F1440" s="296" t="s">
        <v>975</v>
      </c>
      <c r="H1440" s="296" t="s">
        <v>441</v>
      </c>
      <c r="K1440" s="252">
        <f>SUM(K1433:K1438)</f>
        <v>2768.15</v>
      </c>
      <c r="O1440" s="461" t="s">
        <v>3485</v>
      </c>
      <c r="Q1440" s="296"/>
      <c r="U1440" s="360" t="s">
        <v>3535</v>
      </c>
      <c r="W1440" s="253"/>
      <c r="X1440" s="274">
        <f>X1439/S1438</f>
        <v>5680.39</v>
      </c>
      <c r="AE1440" s="370">
        <f t="shared" si="199"/>
        <v>0</v>
      </c>
    </row>
    <row r="1441" spans="6:31" ht="20.25" customHeight="1">
      <c r="H1441" s="274"/>
      <c r="I1441" s="274"/>
      <c r="J1441" s="276"/>
      <c r="K1441" s="388" t="s">
        <v>1586</v>
      </c>
      <c r="M1441" s="316">
        <v>5.35</v>
      </c>
      <c r="N1441" s="252" t="s">
        <v>913</v>
      </c>
      <c r="O1441" s="393" t="s">
        <v>4262</v>
      </c>
      <c r="P1441" s="252">
        <f>P1425</f>
        <v>325</v>
      </c>
      <c r="Q1441" s="252" t="s">
        <v>913</v>
      </c>
      <c r="R1441" s="252">
        <f>P1441*M1441</f>
        <v>1738.75</v>
      </c>
      <c r="W1441" s="253"/>
      <c r="AE1441" s="370">
        <f t="shared" si="199"/>
        <v>0</v>
      </c>
    </row>
    <row r="1442" spans="6:31" ht="20.25" customHeight="1">
      <c r="H1442" s="255" t="s">
        <v>552</v>
      </c>
      <c r="I1442" s="274"/>
      <c r="J1442" s="276"/>
      <c r="K1442" s="274">
        <f>(K1440/10)</f>
        <v>276.82</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0.25"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0.25"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0.25"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0.25" customHeight="1">
      <c r="F1446" s="253" t="s">
        <v>846</v>
      </c>
      <c r="G1446" s="252" t="s">
        <v>2251</v>
      </c>
      <c r="H1446" s="296" t="s">
        <v>847</v>
      </c>
      <c r="M1446" s="316">
        <v>18.62</v>
      </c>
      <c r="N1446" s="252" t="s">
        <v>826</v>
      </c>
      <c r="O1446" s="393" t="s">
        <v>4265</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0.25" customHeight="1">
      <c r="H1447" s="296" t="s">
        <v>1360</v>
      </c>
      <c r="M1447" s="316">
        <v>16</v>
      </c>
      <c r="N1447" s="252" t="s">
        <v>769</v>
      </c>
      <c r="O1447" s="393" t="s">
        <v>4263</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0.25" customHeight="1">
      <c r="H1448" s="296" t="s">
        <v>1361</v>
      </c>
      <c r="M1448" s="316">
        <v>8</v>
      </c>
      <c r="N1448" s="252" t="s">
        <v>769</v>
      </c>
      <c r="O1448" s="393" t="s">
        <v>4264</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0.25"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0.25"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0.25"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0.25"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0.25" customHeight="1">
      <c r="F1453" s="316">
        <v>1.4E-2</v>
      </c>
      <c r="G1453" s="252" t="s">
        <v>2151</v>
      </c>
      <c r="H1453" s="296" t="s">
        <v>700</v>
      </c>
      <c r="I1453" s="252">
        <f>K49</f>
        <v>3597.1</v>
      </c>
      <c r="J1453" s="296" t="s">
        <v>2151</v>
      </c>
      <c r="K1453" s="252">
        <f>(F1453*I1453)</f>
        <v>50.36</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0.25"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0.25"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0.25"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0.25"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0.25" customHeight="1">
      <c r="H1458" s="253" t="s">
        <v>702</v>
      </c>
      <c r="K1458" s="252">
        <f>SUM(K1453:K1456)</f>
        <v>545.36</v>
      </c>
      <c r="M1458" s="316">
        <v>10.75</v>
      </c>
      <c r="N1458" s="252" t="s">
        <v>913</v>
      </c>
      <c r="O1458" s="393" t="s">
        <v>4262</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0.25"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0.25" customHeight="1">
      <c r="H1460" s="255" t="s">
        <v>703</v>
      </c>
      <c r="I1460" s="274"/>
      <c r="J1460" s="276"/>
      <c r="K1460" s="274">
        <f>K1458/6.77</f>
        <v>80.56</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0.25"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0.25"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0.25" customHeight="1">
      <c r="G1463" s="252" t="s">
        <v>520</v>
      </c>
      <c r="H1463" s="296" t="s">
        <v>704</v>
      </c>
      <c r="M1463" s="316">
        <v>8</v>
      </c>
      <c r="N1463" s="252" t="s">
        <v>826</v>
      </c>
      <c r="O1463" s="393" t="s">
        <v>4265</v>
      </c>
      <c r="P1463" s="252">
        <f t="shared" si="213"/>
        <v>29.05</v>
      </c>
      <c r="Q1463" s="252" t="s">
        <v>826</v>
      </c>
      <c r="R1463" s="252">
        <f t="shared" si="214"/>
        <v>232.4</v>
      </c>
      <c r="U1463" s="360" t="s">
        <v>3536</v>
      </c>
      <c r="W1463" s="253"/>
      <c r="X1463" s="274">
        <f>SUM(X1450:X1462)</f>
        <v>8046.21</v>
      </c>
      <c r="AE1463" s="370">
        <f t="shared" si="199"/>
        <v>0</v>
      </c>
    </row>
    <row r="1464" spans="6:31" ht="20.25" customHeight="1">
      <c r="G1464" s="252" t="s">
        <v>1586</v>
      </c>
      <c r="H1464" s="358" t="s">
        <v>1586</v>
      </c>
      <c r="M1464" s="316">
        <v>0</v>
      </c>
      <c r="N1464" s="252" t="s">
        <v>769</v>
      </c>
      <c r="O1464" s="393" t="s">
        <v>4263</v>
      </c>
      <c r="P1464" s="252">
        <f t="shared" si="213"/>
        <v>71.900000000000006</v>
      </c>
      <c r="Q1464" s="252" t="s">
        <v>769</v>
      </c>
      <c r="R1464" s="252">
        <f t="shared" si="214"/>
        <v>0</v>
      </c>
      <c r="W1464" s="253"/>
      <c r="AE1464" s="370">
        <f t="shared" si="199"/>
        <v>0</v>
      </c>
    </row>
    <row r="1465" spans="6:31" ht="20.25" customHeight="1">
      <c r="F1465" s="316">
        <v>7.0000000000000001E-3</v>
      </c>
      <c r="G1465" s="252" t="s">
        <v>2151</v>
      </c>
      <c r="H1465" s="296" t="s">
        <v>700</v>
      </c>
      <c r="I1465" s="252">
        <f>K49</f>
        <v>3597.1</v>
      </c>
      <c r="J1465" s="296" t="s">
        <v>2151</v>
      </c>
      <c r="K1465" s="252">
        <f>(F1465*I1465)</f>
        <v>25.18</v>
      </c>
      <c r="M1465" s="316">
        <v>0</v>
      </c>
      <c r="N1465" s="252" t="s">
        <v>769</v>
      </c>
      <c r="O1465" s="393" t="s">
        <v>4264</v>
      </c>
      <c r="P1465" s="252">
        <f t="shared" si="213"/>
        <v>57.65</v>
      </c>
      <c r="Q1465" s="252" t="s">
        <v>769</v>
      </c>
      <c r="R1465" s="252">
        <f t="shared" si="214"/>
        <v>0</v>
      </c>
      <c r="W1465" s="253"/>
      <c r="AE1465" s="370">
        <f t="shared" si="199"/>
        <v>0</v>
      </c>
    </row>
    <row r="1466" spans="6:31" ht="20.25"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0.25"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0.25"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0.25"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0.25" customHeight="1">
      <c r="H1470" s="253" t="s">
        <v>702</v>
      </c>
      <c r="K1470" s="252">
        <f>SUM(K1465:K1468)</f>
        <v>355.18</v>
      </c>
      <c r="O1470" s="296" t="s">
        <v>1863</v>
      </c>
      <c r="Q1470" s="253"/>
      <c r="R1470" s="252">
        <v>0.28000000000000003</v>
      </c>
      <c r="U1470" s="296"/>
      <c r="W1470" s="253"/>
      <c r="X1470" s="252">
        <f>SUM(X1467:X1469)</f>
        <v>3990.33</v>
      </c>
      <c r="AE1470" s="370">
        <f t="shared" ref="AE1470:AE1533" si="215">AG1470</f>
        <v>0</v>
      </c>
    </row>
    <row r="1471" spans="6:31" ht="20.25" customHeight="1">
      <c r="K1471" s="358" t="s">
        <v>1586</v>
      </c>
      <c r="R1471" s="274">
        <f>SUM(R1458:R1470)</f>
        <v>8405.09</v>
      </c>
      <c r="U1471" s="360" t="s">
        <v>3535</v>
      </c>
      <c r="W1471" s="253"/>
      <c r="X1471" s="274">
        <f>X1470/S1469</f>
        <v>5175.53</v>
      </c>
      <c r="AE1471" s="370">
        <f t="shared" si="215"/>
        <v>0</v>
      </c>
    </row>
    <row r="1472" spans="6:31" ht="20.25" customHeight="1">
      <c r="H1472" s="255" t="s">
        <v>703</v>
      </c>
      <c r="I1472" s="274"/>
      <c r="J1472" s="276"/>
      <c r="K1472" s="274">
        <f>K1470/6.77</f>
        <v>52.46</v>
      </c>
      <c r="W1472" s="253"/>
      <c r="AE1472" s="370">
        <f t="shared" si="215"/>
        <v>0</v>
      </c>
    </row>
    <row r="1473" spans="6:31" ht="20.25" customHeight="1">
      <c r="K1473" s="358" t="s">
        <v>2055</v>
      </c>
      <c r="W1473" s="253"/>
      <c r="AE1473" s="370">
        <f t="shared" si="215"/>
        <v>0</v>
      </c>
    </row>
    <row r="1474" spans="6:31" ht="20.25" customHeight="1">
      <c r="K1474" s="358"/>
      <c r="O1474" s="461" t="s">
        <v>2830</v>
      </c>
      <c r="P1474" s="1174" t="s">
        <v>2359</v>
      </c>
      <c r="Q1474" s="1174"/>
      <c r="R1474" s="1174"/>
      <c r="S1474" s="1175"/>
      <c r="T1474" s="1175"/>
      <c r="U1474" s="1175"/>
      <c r="V1474" s="469"/>
      <c r="W1474" s="469"/>
      <c r="AE1474" s="370">
        <f t="shared" si="215"/>
        <v>0</v>
      </c>
    </row>
    <row r="1475" spans="6:31" ht="20.25" customHeight="1">
      <c r="K1475" s="358"/>
      <c r="M1475" s="316">
        <v>4.67</v>
      </c>
      <c r="N1475" s="252" t="s">
        <v>913</v>
      </c>
      <c r="O1475" s="393" t="s">
        <v>4262</v>
      </c>
      <c r="P1475" s="252">
        <f>P1458</f>
        <v>325</v>
      </c>
      <c r="Q1475" s="252" t="s">
        <v>913</v>
      </c>
      <c r="R1475" s="252">
        <f>P1475*M1475</f>
        <v>1517.75</v>
      </c>
      <c r="S1475" s="316"/>
      <c r="U1475" s="296"/>
      <c r="W1475" s="253"/>
      <c r="AE1475" s="370">
        <f t="shared" si="215"/>
        <v>0</v>
      </c>
    </row>
    <row r="1476" spans="6:31" ht="20.25"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0.25"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0.25" customHeight="1">
      <c r="F1478" s="316">
        <v>4.7000000000000002E-3</v>
      </c>
      <c r="G1478" s="252" t="s">
        <v>2151</v>
      </c>
      <c r="H1478" s="296" t="s">
        <v>700</v>
      </c>
      <c r="I1478" s="252">
        <f>K49</f>
        <v>3597.1</v>
      </c>
      <c r="J1478" s="296" t="s">
        <v>2151</v>
      </c>
      <c r="K1478" s="252">
        <f>(F1478*I1478)</f>
        <v>16.91</v>
      </c>
      <c r="M1478" s="316"/>
      <c r="O1478" s="296"/>
      <c r="R1478" s="252">
        <f>SUM(R1475:R1477)</f>
        <v>2762.4</v>
      </c>
      <c r="S1478" s="316"/>
      <c r="U1478" s="296"/>
      <c r="W1478" s="253"/>
      <c r="AE1478" s="370">
        <f t="shared" si="215"/>
        <v>0</v>
      </c>
    </row>
    <row r="1479" spans="6:31" ht="20.25"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0.25"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0.25" customHeight="1">
      <c r="H1481" s="296" t="s">
        <v>2271</v>
      </c>
      <c r="K1481" s="252">
        <v>0</v>
      </c>
      <c r="O1481" s="461" t="s">
        <v>2831</v>
      </c>
      <c r="P1481" s="274" t="s">
        <v>2359</v>
      </c>
      <c r="Q1481" s="296"/>
      <c r="W1481" s="253"/>
      <c r="AE1481" s="370">
        <f t="shared" si="215"/>
        <v>0</v>
      </c>
    </row>
    <row r="1482" spans="6:31" ht="20.25" customHeight="1">
      <c r="K1482" s="358" t="s">
        <v>1586</v>
      </c>
      <c r="M1482" s="316">
        <v>7.01</v>
      </c>
      <c r="N1482" s="252" t="s">
        <v>913</v>
      </c>
      <c r="O1482" s="393" t="s">
        <v>4262</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0.25" customHeight="1">
      <c r="H1483" s="253" t="s">
        <v>702</v>
      </c>
      <c r="K1483" s="252">
        <f>SUM(K1478:K1481)</f>
        <v>264.41000000000003</v>
      </c>
      <c r="M1483" s="316">
        <v>0.81</v>
      </c>
      <c r="N1483" s="252" t="s">
        <v>233</v>
      </c>
      <c r="O1483" s="296" t="s">
        <v>1855</v>
      </c>
      <c r="P1483" s="314">
        <f>P1476</f>
        <v>306.89999999999998</v>
      </c>
      <c r="Q1483" s="252" t="s">
        <v>913</v>
      </c>
      <c r="R1483" s="252">
        <f>P1483*M1483</f>
        <v>248.59</v>
      </c>
      <c r="W1483" s="253"/>
      <c r="AE1483" s="370">
        <f t="shared" si="215"/>
        <v>0</v>
      </c>
    </row>
    <row r="1484" spans="6:31" ht="20.25"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0.25" customHeight="1">
      <c r="H1485" s="255" t="s">
        <v>703</v>
      </c>
      <c r="I1485" s="274"/>
      <c r="J1485" s="276"/>
      <c r="K1485" s="274">
        <f>K1483/6.77</f>
        <v>39.06</v>
      </c>
      <c r="M1485" s="316"/>
      <c r="O1485" s="296"/>
      <c r="R1485" s="252">
        <f>SUM(R1482:R1484)+0.68</f>
        <v>4145.8999999999996</v>
      </c>
      <c r="W1485" s="253"/>
      <c r="AE1485" s="370">
        <f t="shared" si="215"/>
        <v>0</v>
      </c>
    </row>
    <row r="1486" spans="6:31" ht="20.25" customHeight="1">
      <c r="K1486" s="358" t="s">
        <v>2055</v>
      </c>
      <c r="M1486" s="316"/>
      <c r="O1486" s="360" t="s">
        <v>3535</v>
      </c>
      <c r="R1486" s="274">
        <f>R1485/M1484</f>
        <v>5118.3999999999996</v>
      </c>
      <c r="W1486" s="253"/>
      <c r="AE1486" s="370">
        <f t="shared" si="215"/>
        <v>0</v>
      </c>
    </row>
    <row r="1487" spans="6:31" ht="20.25" customHeight="1">
      <c r="K1487" s="358"/>
      <c r="O1487" s="296"/>
      <c r="Q1487" s="253"/>
      <c r="W1487" s="253"/>
      <c r="AE1487" s="370">
        <f t="shared" si="215"/>
        <v>0</v>
      </c>
    </row>
    <row r="1488" spans="6:31" ht="20.25" customHeight="1">
      <c r="F1488" s="375">
        <v>37.1</v>
      </c>
      <c r="G1488" s="252" t="s">
        <v>2251</v>
      </c>
      <c r="H1488" s="296" t="s">
        <v>395</v>
      </c>
      <c r="O1488" s="461" t="s">
        <v>3481</v>
      </c>
      <c r="Q1488" s="296"/>
      <c r="W1488" s="253"/>
      <c r="AE1488" s="370">
        <f t="shared" si="215"/>
        <v>0</v>
      </c>
    </row>
    <row r="1489" spans="6:31" ht="20.25" customHeight="1">
      <c r="H1489" s="358" t="s">
        <v>1586</v>
      </c>
      <c r="M1489" s="316">
        <v>4.42</v>
      </c>
      <c r="N1489" s="252" t="s">
        <v>913</v>
      </c>
      <c r="O1489" s="393" t="s">
        <v>4262</v>
      </c>
      <c r="P1489" s="252">
        <f>P1458</f>
        <v>325</v>
      </c>
      <c r="Q1489" s="252" t="s">
        <v>913</v>
      </c>
      <c r="R1489" s="252">
        <f>P1489*M1489</f>
        <v>1436.5</v>
      </c>
      <c r="W1489" s="253"/>
      <c r="AE1489" s="370">
        <f t="shared" si="215"/>
        <v>0</v>
      </c>
    </row>
    <row r="1490" spans="6:31" ht="20.25" customHeight="1">
      <c r="F1490" s="252">
        <v>0.09</v>
      </c>
      <c r="G1490" s="252" t="s">
        <v>869</v>
      </c>
      <c r="H1490" s="296" t="s">
        <v>2004</v>
      </c>
      <c r="I1490" s="252">
        <f>(C84)</f>
        <v>1348</v>
      </c>
      <c r="J1490" s="296" t="s">
        <v>869</v>
      </c>
      <c r="K1490" s="252">
        <f>(F1490*I1490)</f>
        <v>121.32</v>
      </c>
      <c r="M1490" s="316">
        <v>4.72</v>
      </c>
      <c r="N1490" s="252" t="s">
        <v>913</v>
      </c>
      <c r="O1490" s="393" t="s">
        <v>4262</v>
      </c>
      <c r="P1490" s="252">
        <f t="shared" ref="P1490:P1500" si="216">P1459</f>
        <v>325</v>
      </c>
      <c r="Q1490" s="252" t="s">
        <v>913</v>
      </c>
      <c r="R1490" s="252">
        <f t="shared" ref="R1490:R1500" si="217">P1490*M1490</f>
        <v>1534</v>
      </c>
      <c r="W1490" s="253"/>
      <c r="AE1490" s="370">
        <f t="shared" si="215"/>
        <v>0</v>
      </c>
    </row>
    <row r="1491" spans="6:31" ht="20.25"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0.25"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0.25"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0.25"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0.25"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0.25"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0.25"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0.25"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0.25"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0.25"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0.25" customHeight="1">
      <c r="H1501" s="296" t="s">
        <v>999</v>
      </c>
      <c r="O1501" s="296" t="s">
        <v>1863</v>
      </c>
      <c r="Q1501" s="253"/>
      <c r="R1501" s="252">
        <v>0.31</v>
      </c>
      <c r="W1501" s="253"/>
      <c r="AE1501" s="370">
        <f t="shared" si="215"/>
        <v>0</v>
      </c>
    </row>
    <row r="1502" spans="6:31" ht="20.25" customHeight="1">
      <c r="H1502" s="296" t="s">
        <v>1000</v>
      </c>
      <c r="R1502" s="274">
        <f>SUM(R1489:R1501)</f>
        <v>12919.95</v>
      </c>
      <c r="W1502" s="253"/>
      <c r="AE1502" s="370">
        <f t="shared" si="215"/>
        <v>0</v>
      </c>
    </row>
    <row r="1503" spans="6:31" ht="20.25" customHeight="1">
      <c r="H1503" s="296" t="s">
        <v>28</v>
      </c>
      <c r="W1503" s="253"/>
      <c r="AE1503" s="370">
        <f t="shared" si="215"/>
        <v>0</v>
      </c>
    </row>
    <row r="1504" spans="6:31" ht="20.25" customHeight="1">
      <c r="H1504" s="358" t="s">
        <v>1586</v>
      </c>
      <c r="W1504" s="253"/>
      <c r="AE1504" s="370">
        <f t="shared" si="215"/>
        <v>0</v>
      </c>
    </row>
    <row r="1505" spans="6:31" ht="20.25" customHeight="1">
      <c r="F1505" s="252">
        <v>4.8</v>
      </c>
      <c r="G1505" s="252" t="s">
        <v>1645</v>
      </c>
      <c r="H1505" s="296" t="s">
        <v>440</v>
      </c>
      <c r="I1505" s="252">
        <f>(C271)</f>
        <v>49.85</v>
      </c>
      <c r="J1505" s="296" t="s">
        <v>1645</v>
      </c>
      <c r="K1505" s="252">
        <f>(F1505*I1505)</f>
        <v>239.28</v>
      </c>
      <c r="W1505" s="253"/>
      <c r="AE1505" s="370">
        <f t="shared" si="215"/>
        <v>0</v>
      </c>
    </row>
    <row r="1506" spans="6:31" ht="20.25" customHeight="1">
      <c r="F1506" s="252">
        <v>0.75</v>
      </c>
      <c r="G1506" s="252" t="s">
        <v>868</v>
      </c>
      <c r="H1506" s="296" t="s">
        <v>29</v>
      </c>
      <c r="I1506" s="252">
        <f>(C14)</f>
        <v>797</v>
      </c>
      <c r="J1506" s="296" t="s">
        <v>868</v>
      </c>
      <c r="K1506" s="252">
        <f>(F1506*I1506)</f>
        <v>597.75</v>
      </c>
      <c r="W1506" s="253"/>
      <c r="AE1506" s="370">
        <f t="shared" si="215"/>
        <v>0</v>
      </c>
    </row>
    <row r="1507" spans="6:31" ht="20.25" customHeight="1">
      <c r="F1507" s="252">
        <v>0.75</v>
      </c>
      <c r="G1507" s="252" t="s">
        <v>868</v>
      </c>
      <c r="H1507" s="296" t="s">
        <v>934</v>
      </c>
      <c r="I1507" s="252">
        <f>(C12)</f>
        <v>651</v>
      </c>
      <c r="J1507" s="296" t="s">
        <v>868</v>
      </c>
      <c r="K1507" s="252">
        <f>(F1507*I1507)</f>
        <v>488.25</v>
      </c>
      <c r="W1507" s="253"/>
      <c r="AE1507" s="370">
        <f t="shared" si="215"/>
        <v>0</v>
      </c>
    </row>
    <row r="1508" spans="6:31" ht="20.25" customHeight="1">
      <c r="F1508" s="252">
        <v>1.2</v>
      </c>
      <c r="G1508" s="252" t="s">
        <v>868</v>
      </c>
      <c r="H1508" s="296" t="s">
        <v>320</v>
      </c>
      <c r="I1508" s="252">
        <f>(C13)</f>
        <v>534</v>
      </c>
      <c r="J1508" s="296" t="s">
        <v>868</v>
      </c>
      <c r="K1508" s="252">
        <f>(F1508*I1508)</f>
        <v>640.79999999999995</v>
      </c>
      <c r="W1508" s="253"/>
      <c r="AE1508" s="370">
        <f t="shared" si="215"/>
        <v>0</v>
      </c>
    </row>
    <row r="1509" spans="6:31" ht="20.25" customHeight="1">
      <c r="G1509" s="252" t="s">
        <v>449</v>
      </c>
      <c r="H1509" s="296" t="s">
        <v>1836</v>
      </c>
      <c r="I1509" s="296" t="s">
        <v>975</v>
      </c>
      <c r="J1509" s="296" t="s">
        <v>449</v>
      </c>
      <c r="K1509" s="252">
        <v>1.5</v>
      </c>
      <c r="W1509" s="253"/>
      <c r="AE1509" s="370">
        <f t="shared" si="215"/>
        <v>0</v>
      </c>
    </row>
    <row r="1510" spans="6:31" ht="20.25" customHeight="1">
      <c r="K1510" s="358" t="s">
        <v>1586</v>
      </c>
      <c r="W1510" s="253"/>
      <c r="AE1510" s="370">
        <f t="shared" si="215"/>
        <v>0</v>
      </c>
    </row>
    <row r="1511" spans="6:31" ht="20.25" customHeight="1">
      <c r="H1511" s="296" t="s">
        <v>441</v>
      </c>
      <c r="K1511" s="252">
        <f>SUM(K1505:K1509)</f>
        <v>1967.58</v>
      </c>
      <c r="W1511" s="253"/>
      <c r="AE1511" s="370">
        <f t="shared" si="215"/>
        <v>0</v>
      </c>
    </row>
    <row r="1512" spans="6:31" ht="20.25" customHeight="1">
      <c r="K1512" s="358" t="s">
        <v>1586</v>
      </c>
      <c r="W1512" s="253"/>
      <c r="AE1512" s="370">
        <f t="shared" si="215"/>
        <v>0</v>
      </c>
    </row>
    <row r="1513" spans="6:31" ht="20.25" customHeight="1">
      <c r="H1513" s="255" t="s">
        <v>552</v>
      </c>
      <c r="I1513" s="274"/>
      <c r="J1513" s="276"/>
      <c r="K1513" s="274">
        <f>(K1511/10)</f>
        <v>196.76</v>
      </c>
      <c r="W1513" s="253"/>
      <c r="AE1513" s="370">
        <f t="shared" si="215"/>
        <v>0</v>
      </c>
    </row>
    <row r="1514" spans="6:31" ht="20.25" customHeight="1">
      <c r="K1514" s="358" t="s">
        <v>2055</v>
      </c>
      <c r="W1514" s="253"/>
      <c r="AE1514" s="370">
        <f t="shared" si="215"/>
        <v>0</v>
      </c>
    </row>
    <row r="1515" spans="6:31" ht="20.25" customHeight="1">
      <c r="F1515" s="253" t="s">
        <v>30</v>
      </c>
      <c r="G1515" s="252" t="s">
        <v>2251</v>
      </c>
      <c r="H1515" s="253" t="s">
        <v>1968</v>
      </c>
      <c r="W1515" s="253"/>
      <c r="AE1515" s="370">
        <f t="shared" si="215"/>
        <v>0</v>
      </c>
    </row>
    <row r="1516" spans="6:31" ht="20.25" customHeight="1">
      <c r="H1516" s="253" t="s">
        <v>32</v>
      </c>
      <c r="M1516" s="253"/>
      <c r="N1516" s="252" t="s">
        <v>2251</v>
      </c>
      <c r="O1516" s="296" t="s">
        <v>1989</v>
      </c>
      <c r="Q1516" s="296"/>
      <c r="W1516" s="253"/>
      <c r="AE1516" s="370">
        <f t="shared" si="215"/>
        <v>0</v>
      </c>
    </row>
    <row r="1517" spans="6:31" ht="20.25"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0.25"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0.25"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0.25"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0.25"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0.25" customHeight="1">
      <c r="M1522" s="252">
        <v>0.75</v>
      </c>
      <c r="N1522" s="252" t="s">
        <v>868</v>
      </c>
      <c r="O1522" s="296" t="s">
        <v>29</v>
      </c>
      <c r="P1522" s="252">
        <f>C14</f>
        <v>797</v>
      </c>
      <c r="Q1522" s="296" t="s">
        <v>868</v>
      </c>
      <c r="R1522" s="252">
        <f>M1522*P1522</f>
        <v>597.75</v>
      </c>
      <c r="W1522" s="253"/>
      <c r="AE1522" s="370">
        <f t="shared" si="215"/>
        <v>0</v>
      </c>
    </row>
    <row r="1523" spans="6:31" ht="20.25"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0.25"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0.25" customHeight="1">
      <c r="K1525" s="358" t="s">
        <v>1586</v>
      </c>
      <c r="N1525" s="252" t="s">
        <v>449</v>
      </c>
      <c r="O1525" s="296" t="s">
        <v>1836</v>
      </c>
      <c r="P1525" s="296" t="s">
        <v>975</v>
      </c>
      <c r="Q1525" s="296" t="s">
        <v>449</v>
      </c>
      <c r="R1525" s="252">
        <v>1.5</v>
      </c>
      <c r="W1525" s="253"/>
      <c r="AE1525" s="370">
        <f t="shared" si="215"/>
        <v>0</v>
      </c>
    </row>
    <row r="1526" spans="6:31" ht="20.25"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0.25" customHeight="1">
      <c r="K1527" s="358" t="s">
        <v>2055</v>
      </c>
      <c r="O1527" s="296" t="s">
        <v>441</v>
      </c>
      <c r="Q1527" s="296"/>
      <c r="R1527" s="252">
        <f>SUM(R1521:R1525)</f>
        <v>1880.9</v>
      </c>
      <c r="W1527" s="253"/>
      <c r="AE1527" s="370">
        <f t="shared" si="215"/>
        <v>0</v>
      </c>
    </row>
    <row r="1528" spans="6:31" ht="20.25" customHeight="1">
      <c r="F1528" s="253" t="s">
        <v>1374</v>
      </c>
      <c r="G1528" s="252" t="s">
        <v>2251</v>
      </c>
      <c r="H1528" s="296" t="s">
        <v>493</v>
      </c>
      <c r="Q1528" s="296"/>
      <c r="R1528" s="358" t="s">
        <v>1586</v>
      </c>
      <c r="W1528" s="253"/>
      <c r="AE1528" s="370">
        <f t="shared" si="215"/>
        <v>0</v>
      </c>
    </row>
    <row r="1529" spans="6:31" ht="20.25" customHeight="1">
      <c r="H1529" s="296" t="s">
        <v>1376</v>
      </c>
      <c r="O1529" s="296" t="s">
        <v>552</v>
      </c>
      <c r="Q1529" s="296"/>
      <c r="R1529" s="252">
        <f>(R1527/10)</f>
        <v>188.09</v>
      </c>
      <c r="W1529" s="253"/>
      <c r="AE1529" s="370">
        <f t="shared" si="215"/>
        <v>0</v>
      </c>
    </row>
    <row r="1530" spans="6:31" ht="20.25" customHeight="1">
      <c r="H1530" s="296" t="s">
        <v>1969</v>
      </c>
      <c r="Q1530" s="296"/>
      <c r="R1530" s="358" t="s">
        <v>2055</v>
      </c>
      <c r="W1530" s="253"/>
      <c r="AE1530" s="370">
        <f t="shared" si="215"/>
        <v>0</v>
      </c>
    </row>
    <row r="1531" spans="6:31" ht="20.25" customHeight="1">
      <c r="H1531" s="358" t="s">
        <v>1586</v>
      </c>
      <c r="L1531" s="470"/>
      <c r="M1531" s="471"/>
      <c r="N1531" s="1171" t="s">
        <v>4371</v>
      </c>
      <c r="O1531" s="1171"/>
      <c r="P1531" s="1171"/>
      <c r="Q1531" s="1171"/>
      <c r="R1531" s="1171"/>
      <c r="W1531" s="253"/>
      <c r="AE1531" s="370">
        <f t="shared" si="215"/>
        <v>0</v>
      </c>
    </row>
    <row r="1532" spans="6:31" ht="20.25" customHeight="1">
      <c r="F1532" s="252">
        <v>1.44</v>
      </c>
      <c r="G1532" s="252" t="s">
        <v>1238</v>
      </c>
      <c r="H1532" s="296" t="s">
        <v>1178</v>
      </c>
      <c r="I1532" s="252">
        <f>(C196)</f>
        <v>147.5</v>
      </c>
      <c r="J1532" s="296" t="s">
        <v>1238</v>
      </c>
      <c r="K1532" s="252">
        <f>(F1532*I1532)</f>
        <v>212.4</v>
      </c>
      <c r="L1532" s="473"/>
      <c r="M1532" s="474"/>
      <c r="N1532" s="471"/>
      <c r="O1532" s="472" t="s">
        <v>4372</v>
      </c>
      <c r="P1532" s="471"/>
      <c r="Q1532" s="471"/>
      <c r="R1532" s="471"/>
      <c r="W1532" s="253"/>
      <c r="AE1532" s="370">
        <f t="shared" si="215"/>
        <v>0</v>
      </c>
    </row>
    <row r="1533" spans="6:31" ht="20.25" customHeight="1">
      <c r="F1533" s="252">
        <v>0.7</v>
      </c>
      <c r="G1533" s="252" t="s">
        <v>769</v>
      </c>
      <c r="H1533" s="296" t="s">
        <v>1179</v>
      </c>
      <c r="I1533" s="252">
        <f>(C14)</f>
        <v>797</v>
      </c>
      <c r="J1533" s="296" t="s">
        <v>769</v>
      </c>
      <c r="K1533" s="252">
        <f>(F1533*I1533)</f>
        <v>557.9</v>
      </c>
      <c r="L1533" s="473"/>
      <c r="M1533" s="474"/>
      <c r="N1533" s="471"/>
      <c r="O1533" s="475"/>
      <c r="P1533" s="471"/>
      <c r="Q1533" s="471"/>
      <c r="R1533" s="471"/>
      <c r="W1533" s="253"/>
      <c r="AE1533" s="370">
        <f t="shared" si="215"/>
        <v>0</v>
      </c>
    </row>
    <row r="1534" spans="6:31" ht="20.25" customHeight="1">
      <c r="F1534" s="252">
        <v>2.5499999999999998</v>
      </c>
      <c r="G1534" s="252" t="s">
        <v>1238</v>
      </c>
      <c r="H1534" s="296" t="s">
        <v>1180</v>
      </c>
      <c r="I1534" s="252">
        <f>(C195)</f>
        <v>238.9</v>
      </c>
      <c r="J1534" s="296" t="s">
        <v>1238</v>
      </c>
      <c r="K1534" s="252">
        <f>(F1534*I1534)</f>
        <v>609.20000000000005</v>
      </c>
      <c r="L1534" s="473"/>
      <c r="M1534" s="474"/>
      <c r="N1534" s="471"/>
      <c r="O1534" s="475"/>
      <c r="P1534" s="471"/>
      <c r="Q1534" s="471"/>
      <c r="R1534" s="471"/>
      <c r="W1534" s="253"/>
      <c r="AE1534" s="370">
        <f t="shared" ref="AE1534:AE1597" si="218">AG1534</f>
        <v>0</v>
      </c>
    </row>
    <row r="1535" spans="6:31" ht="20.25" customHeight="1">
      <c r="F1535" s="252">
        <v>1.2</v>
      </c>
      <c r="G1535" s="252" t="s">
        <v>769</v>
      </c>
      <c r="H1535" s="296" t="s">
        <v>1179</v>
      </c>
      <c r="I1535" s="252">
        <f>(C14)</f>
        <v>797</v>
      </c>
      <c r="J1535" s="296" t="s">
        <v>769</v>
      </c>
      <c r="K1535" s="252">
        <f>(F1535*I1535)</f>
        <v>956.4</v>
      </c>
      <c r="L1535" s="473"/>
      <c r="M1535" s="474">
        <v>19.13</v>
      </c>
      <c r="N1535" s="471" t="s">
        <v>913</v>
      </c>
      <c r="O1535" s="475" t="s">
        <v>3934</v>
      </c>
      <c r="P1535" s="471">
        <f>P1489</f>
        <v>325</v>
      </c>
      <c r="Q1535" s="471" t="s">
        <v>913</v>
      </c>
      <c r="R1535" s="471">
        <f>P1535*M1535</f>
        <v>6217.25</v>
      </c>
      <c r="W1535" s="253"/>
      <c r="AE1535" s="370">
        <f t="shared" si="218"/>
        <v>0</v>
      </c>
    </row>
    <row r="1536" spans="6:31" ht="20.25" customHeight="1">
      <c r="G1536" s="252" t="s">
        <v>449</v>
      </c>
      <c r="H1536" s="296" t="s">
        <v>1181</v>
      </c>
      <c r="I1536" s="296" t="s">
        <v>975</v>
      </c>
      <c r="J1536" s="296" t="s">
        <v>449</v>
      </c>
      <c r="K1536" s="252">
        <v>1.5</v>
      </c>
      <c r="L1536" s="473"/>
      <c r="M1536" s="474">
        <v>2.97</v>
      </c>
      <c r="N1536" s="471" t="s">
        <v>233</v>
      </c>
      <c r="O1536" s="475" t="s">
        <v>3918</v>
      </c>
      <c r="P1536" s="471">
        <f>P1493</f>
        <v>306.89999999999998</v>
      </c>
      <c r="Q1536" s="471" t="s">
        <v>233</v>
      </c>
      <c r="R1536" s="471">
        <f t="shared" ref="R1536:R1541" si="219">P1536*M1536</f>
        <v>911.49</v>
      </c>
      <c r="W1536" s="253"/>
      <c r="AE1536" s="370">
        <f t="shared" si="218"/>
        <v>0</v>
      </c>
    </row>
    <row r="1537" spans="6:31" ht="20.25" customHeight="1">
      <c r="K1537" s="358" t="s">
        <v>1586</v>
      </c>
      <c r="L1537" s="473"/>
      <c r="M1537" s="474">
        <v>15.3</v>
      </c>
      <c r="N1537" s="471" t="s">
        <v>826</v>
      </c>
      <c r="O1537" s="475" t="s">
        <v>3917</v>
      </c>
      <c r="P1537" s="471">
        <f>P1494</f>
        <v>29.05</v>
      </c>
      <c r="Q1537" s="471" t="s">
        <v>826</v>
      </c>
      <c r="R1537" s="471">
        <f t="shared" si="219"/>
        <v>444.47</v>
      </c>
      <c r="W1537" s="253"/>
      <c r="AE1537" s="370">
        <f t="shared" si="218"/>
        <v>0</v>
      </c>
    </row>
    <row r="1538" spans="6:31" ht="20.25" customHeight="1">
      <c r="H1538" s="296" t="s">
        <v>441</v>
      </c>
      <c r="K1538" s="252">
        <f>SUM(K1532:K1536)</f>
        <v>2337.4</v>
      </c>
      <c r="L1538" s="473"/>
      <c r="M1538" s="474">
        <v>3</v>
      </c>
      <c r="N1538" s="471" t="s">
        <v>3926</v>
      </c>
      <c r="O1538" s="475" t="s">
        <v>3940</v>
      </c>
      <c r="P1538" s="471">
        <f>I4009</f>
        <v>350</v>
      </c>
      <c r="Q1538" s="471" t="s">
        <v>769</v>
      </c>
      <c r="R1538" s="471">
        <f t="shared" si="219"/>
        <v>1050</v>
      </c>
      <c r="W1538" s="253"/>
      <c r="AE1538" s="370">
        <f t="shared" si="218"/>
        <v>0</v>
      </c>
    </row>
    <row r="1539" spans="6:31" ht="20.25" customHeight="1">
      <c r="K1539" s="358" t="s">
        <v>1586</v>
      </c>
      <c r="L1539" s="473"/>
      <c r="M1539" s="474">
        <v>3</v>
      </c>
      <c r="N1539" s="471" t="s">
        <v>769</v>
      </c>
      <c r="O1539" s="475" t="s">
        <v>3919</v>
      </c>
      <c r="P1539" s="471">
        <f>I4010</f>
        <v>57.65</v>
      </c>
      <c r="Q1539" s="471" t="s">
        <v>769</v>
      </c>
      <c r="R1539" s="471">
        <f t="shared" si="219"/>
        <v>172.95</v>
      </c>
      <c r="W1539" s="253"/>
      <c r="AE1539" s="370">
        <f t="shared" si="218"/>
        <v>0</v>
      </c>
    </row>
    <row r="1540" spans="6:31" ht="20.25" customHeight="1">
      <c r="H1540" s="255" t="s">
        <v>552</v>
      </c>
      <c r="I1540" s="274"/>
      <c r="J1540" s="276"/>
      <c r="K1540" s="274">
        <f>(K1538/10)</f>
        <v>233.74</v>
      </c>
      <c r="L1540" s="473"/>
      <c r="M1540" s="474">
        <v>6</v>
      </c>
      <c r="N1540" s="471" t="s">
        <v>769</v>
      </c>
      <c r="O1540" s="475" t="s">
        <v>3921</v>
      </c>
      <c r="P1540" s="471">
        <f>I3995</f>
        <v>15</v>
      </c>
      <c r="Q1540" s="471" t="s">
        <v>769</v>
      </c>
      <c r="R1540" s="471">
        <f t="shared" si="219"/>
        <v>90</v>
      </c>
      <c r="W1540" s="253"/>
      <c r="AE1540" s="370">
        <f t="shared" si="218"/>
        <v>0</v>
      </c>
    </row>
    <row r="1541" spans="6:31" ht="20.25" customHeight="1">
      <c r="F1541" s="296" t="s">
        <v>975</v>
      </c>
      <c r="L1541" s="473"/>
      <c r="M1541" s="474">
        <v>2.97</v>
      </c>
      <c r="N1541" s="471" t="s">
        <v>2283</v>
      </c>
      <c r="O1541" s="475" t="s">
        <v>3922</v>
      </c>
      <c r="P1541" s="471">
        <f>R1552</f>
        <v>1998</v>
      </c>
      <c r="Q1541" s="471" t="s">
        <v>2283</v>
      </c>
      <c r="R1541" s="471">
        <f t="shared" si="219"/>
        <v>5934.06</v>
      </c>
      <c r="W1541" s="253"/>
      <c r="AE1541" s="370">
        <f t="shared" si="218"/>
        <v>0</v>
      </c>
    </row>
    <row r="1542" spans="6:31" ht="20.25" customHeight="1">
      <c r="K1542" s="358" t="s">
        <v>2055</v>
      </c>
      <c r="L1542" s="473"/>
      <c r="M1542" s="474"/>
      <c r="N1542" s="471"/>
      <c r="O1542" s="475" t="s">
        <v>2271</v>
      </c>
      <c r="P1542" s="471"/>
      <c r="Q1542" s="476"/>
      <c r="R1542" s="471">
        <v>3.5</v>
      </c>
      <c r="W1542" s="253"/>
      <c r="AE1542" s="370">
        <f t="shared" si="218"/>
        <v>0</v>
      </c>
    </row>
    <row r="1543" spans="6:31" ht="20.25" customHeight="1">
      <c r="F1543" s="369">
        <v>41</v>
      </c>
      <c r="G1543" s="252" t="s">
        <v>2251</v>
      </c>
      <c r="H1543" s="296" t="s">
        <v>1375</v>
      </c>
      <c r="L1543" s="473"/>
      <c r="M1543" s="471"/>
      <c r="N1543" s="471"/>
      <c r="O1543" s="296" t="s">
        <v>4373</v>
      </c>
      <c r="P1543" s="471"/>
      <c r="Q1543" s="471"/>
      <c r="R1543" s="477">
        <f>SUM(R1535:R1542)</f>
        <v>14823.72</v>
      </c>
      <c r="W1543" s="253"/>
      <c r="AE1543" s="370">
        <f t="shared" si="218"/>
        <v>0</v>
      </c>
    </row>
    <row r="1544" spans="6:31" ht="20.25" customHeight="1">
      <c r="H1544" s="296" t="s">
        <v>1045</v>
      </c>
      <c r="L1544" s="478"/>
      <c r="M1544" s="471"/>
      <c r="N1544" s="471"/>
      <c r="W1544" s="253"/>
      <c r="AE1544" s="370">
        <f t="shared" si="218"/>
        <v>0</v>
      </c>
    </row>
    <row r="1545" spans="6:31" ht="20.25" customHeight="1">
      <c r="H1545" s="296" t="s">
        <v>1237</v>
      </c>
      <c r="L1545" s="470"/>
      <c r="M1545" s="471"/>
      <c r="N1545" s="471"/>
      <c r="O1545" s="296" t="s">
        <v>552</v>
      </c>
      <c r="P1545" s="471"/>
      <c r="Q1545" s="471"/>
      <c r="R1545" s="477">
        <f>R1543/2.97</f>
        <v>4991.1499999999996</v>
      </c>
      <c r="S1545" s="356">
        <f>R1545-3740</f>
        <v>1251.1500000000001</v>
      </c>
      <c r="W1545" s="253"/>
      <c r="AE1545" s="370">
        <f t="shared" si="218"/>
        <v>0</v>
      </c>
    </row>
    <row r="1546" spans="6:31" ht="20.25" customHeight="1">
      <c r="H1546" s="358" t="s">
        <v>1586</v>
      </c>
      <c r="L1546" s="473"/>
      <c r="M1546" s="471"/>
      <c r="N1546" s="471"/>
      <c r="O1546" s="479"/>
      <c r="P1546" s="471"/>
      <c r="Q1546" s="471"/>
      <c r="R1546" s="471"/>
      <c r="W1546" s="253"/>
      <c r="AE1546" s="370">
        <f t="shared" si="218"/>
        <v>0</v>
      </c>
    </row>
    <row r="1547" spans="6:31" ht="20.25" customHeight="1">
      <c r="F1547" s="252">
        <v>2.2200000000000002</v>
      </c>
      <c r="G1547" s="252" t="s">
        <v>1238</v>
      </c>
      <c r="H1547" s="296" t="s">
        <v>1180</v>
      </c>
      <c r="I1547" s="252">
        <f>(C207)</f>
        <v>227.6</v>
      </c>
      <c r="J1547" s="296" t="s">
        <v>1238</v>
      </c>
      <c r="K1547" s="252">
        <f>(F1547*I1547)</f>
        <v>505.27</v>
      </c>
      <c r="L1547" s="473"/>
      <c r="M1547" s="471">
        <v>1</v>
      </c>
      <c r="N1547" s="471" t="s">
        <v>868</v>
      </c>
      <c r="O1547" s="475" t="s">
        <v>6116</v>
      </c>
      <c r="P1547" s="471">
        <f>AE17</f>
        <v>881</v>
      </c>
      <c r="Q1547" s="475" t="s">
        <v>868</v>
      </c>
      <c r="R1547" s="471">
        <f>P1547*M1547</f>
        <v>881</v>
      </c>
      <c r="W1547" s="253"/>
      <c r="AE1547" s="370">
        <f t="shared" si="218"/>
        <v>0</v>
      </c>
    </row>
    <row r="1548" spans="6:31" ht="20.25" customHeight="1">
      <c r="F1548" s="252">
        <v>1.1000000000000001</v>
      </c>
      <c r="G1548" s="252" t="s">
        <v>769</v>
      </c>
      <c r="H1548" s="296" t="s">
        <v>1179</v>
      </c>
      <c r="I1548" s="252">
        <f>(C14)</f>
        <v>797</v>
      </c>
      <c r="J1548" s="296" t="s">
        <v>769</v>
      </c>
      <c r="K1548" s="252">
        <f>(F1548*I1548)</f>
        <v>876.7</v>
      </c>
      <c r="L1548" s="473"/>
      <c r="M1548" s="471">
        <v>1</v>
      </c>
      <c r="N1548" s="471" t="s">
        <v>868</v>
      </c>
      <c r="O1548" s="475" t="s">
        <v>6117</v>
      </c>
      <c r="P1548" s="471">
        <f>AE11</f>
        <v>651</v>
      </c>
      <c r="Q1548" s="475" t="s">
        <v>868</v>
      </c>
      <c r="R1548" s="471">
        <f>P1548*M1548</f>
        <v>651</v>
      </c>
      <c r="W1548" s="253"/>
      <c r="AE1548" s="370">
        <f t="shared" si="218"/>
        <v>0</v>
      </c>
    </row>
    <row r="1549" spans="6:31" ht="20.25" customHeight="1">
      <c r="G1549" s="252" t="s">
        <v>449</v>
      </c>
      <c r="H1549" s="296" t="s">
        <v>1181</v>
      </c>
      <c r="I1549" s="296" t="s">
        <v>975</v>
      </c>
      <c r="J1549" s="296" t="s">
        <v>449</v>
      </c>
      <c r="K1549" s="252">
        <v>1.5</v>
      </c>
      <c r="L1549" s="473"/>
      <c r="M1549" s="471">
        <v>0.5</v>
      </c>
      <c r="N1549" s="471" t="s">
        <v>868</v>
      </c>
      <c r="O1549" s="475" t="s">
        <v>6118</v>
      </c>
      <c r="P1549" s="471">
        <f>AE20</f>
        <v>932</v>
      </c>
      <c r="Q1549" s="475" t="s">
        <v>868</v>
      </c>
      <c r="R1549" s="471">
        <f>P1549*M1549</f>
        <v>466</v>
      </c>
      <c r="W1549" s="253"/>
      <c r="AE1549" s="370">
        <f t="shared" si="218"/>
        <v>0</v>
      </c>
    </row>
    <row r="1550" spans="6:31" ht="20.25" customHeight="1">
      <c r="K1550" s="358" t="s">
        <v>1586</v>
      </c>
      <c r="L1550" s="473"/>
      <c r="M1550" s="471"/>
      <c r="N1550" s="471"/>
      <c r="O1550" s="471"/>
      <c r="P1550" s="471"/>
      <c r="Q1550" s="475"/>
      <c r="R1550" s="471"/>
      <c r="W1550" s="253"/>
      <c r="AE1550" s="370">
        <f t="shared" si="218"/>
        <v>0</v>
      </c>
    </row>
    <row r="1551" spans="6:31" ht="20.25" customHeight="1">
      <c r="H1551" s="296" t="s">
        <v>441</v>
      </c>
      <c r="K1551" s="252">
        <f>SUM(K1547:K1549)</f>
        <v>1383.47</v>
      </c>
      <c r="L1551" s="473"/>
      <c r="M1551" s="471"/>
      <c r="N1551" s="471"/>
      <c r="O1551" s="475" t="s">
        <v>3931</v>
      </c>
      <c r="P1551" s="471"/>
      <c r="Q1551" s="475"/>
      <c r="R1551" s="480" t="s">
        <v>1586</v>
      </c>
      <c r="W1551" s="253"/>
      <c r="AE1551" s="370">
        <f t="shared" si="218"/>
        <v>0</v>
      </c>
    </row>
    <row r="1552" spans="6:31" ht="20.25" customHeight="1">
      <c r="K1552" s="358" t="s">
        <v>1586</v>
      </c>
      <c r="L1552" s="473"/>
      <c r="M1552" s="471"/>
      <c r="N1552" s="471"/>
      <c r="O1552" s="471"/>
      <c r="P1552" s="471"/>
      <c r="Q1552" s="475"/>
      <c r="R1552" s="477">
        <f>SUM(R1547:R1551)</f>
        <v>1998</v>
      </c>
      <c r="W1552" s="253"/>
      <c r="AE1552" s="370">
        <f t="shared" si="218"/>
        <v>0</v>
      </c>
    </row>
    <row r="1553" spans="6:31" ht="20.25" customHeight="1">
      <c r="H1553" s="255" t="s">
        <v>552</v>
      </c>
      <c r="I1553" s="274"/>
      <c r="J1553" s="276"/>
      <c r="K1553" s="274">
        <f>(K1551/10)</f>
        <v>138.35</v>
      </c>
      <c r="L1553" s="473"/>
      <c r="W1553" s="253"/>
      <c r="AE1553" s="370">
        <f t="shared" si="218"/>
        <v>0</v>
      </c>
    </row>
    <row r="1554" spans="6:31" ht="20.25" customHeight="1">
      <c r="H1554" s="296"/>
      <c r="L1554" s="473"/>
      <c r="W1554" s="253"/>
      <c r="AE1554" s="370">
        <f t="shared" si="218"/>
        <v>0</v>
      </c>
    </row>
    <row r="1555" spans="6:31" ht="20.25" customHeight="1">
      <c r="H1555" s="296"/>
      <c r="L1555" s="473"/>
      <c r="W1555" s="253"/>
      <c r="AE1555" s="370">
        <f t="shared" si="218"/>
        <v>0</v>
      </c>
    </row>
    <row r="1556" spans="6:31" ht="20.25" customHeight="1">
      <c r="F1556" s="481">
        <v>238</v>
      </c>
      <c r="G1556" s="482" t="s">
        <v>2251</v>
      </c>
      <c r="H1556" s="483" t="s">
        <v>586</v>
      </c>
      <c r="I1556" s="482"/>
      <c r="J1556" s="483"/>
      <c r="K1556" s="482"/>
      <c r="L1556" s="473"/>
      <c r="W1556" s="253"/>
      <c r="AE1556" s="370">
        <f t="shared" si="218"/>
        <v>0</v>
      </c>
    </row>
    <row r="1557" spans="6:31" ht="20.25" customHeight="1">
      <c r="F1557" s="484"/>
      <c r="H1557" s="296" t="s">
        <v>1970</v>
      </c>
      <c r="L1557" s="478"/>
      <c r="W1557" s="253"/>
      <c r="AE1557" s="370">
        <f t="shared" si="218"/>
        <v>0</v>
      </c>
    </row>
    <row r="1558" spans="6:31" ht="20.25" customHeight="1">
      <c r="F1558" s="484"/>
      <c r="H1558" s="358" t="s">
        <v>1586</v>
      </c>
      <c r="W1558" s="253"/>
      <c r="AE1558" s="370">
        <f t="shared" si="218"/>
        <v>0</v>
      </c>
    </row>
    <row r="1559" spans="6:31" ht="20.25" customHeight="1">
      <c r="F1559" s="484">
        <v>20</v>
      </c>
      <c r="G1559" s="252" t="s">
        <v>1238</v>
      </c>
      <c r="H1559" s="296" t="s">
        <v>6119</v>
      </c>
      <c r="I1559" s="314">
        <f>D40</f>
        <v>116.2</v>
      </c>
      <c r="J1559" s="296" t="s">
        <v>1238</v>
      </c>
      <c r="K1559" s="252">
        <f>(F1559*I1559)</f>
        <v>2324</v>
      </c>
      <c r="W1559" s="253"/>
      <c r="AE1559" s="370">
        <f t="shared" si="218"/>
        <v>0</v>
      </c>
    </row>
    <row r="1560" spans="6:31" ht="20.25" customHeight="1">
      <c r="F1560" s="484"/>
      <c r="H1560" s="296" t="s">
        <v>588</v>
      </c>
      <c r="K1560" s="296" t="s">
        <v>975</v>
      </c>
      <c r="W1560" s="253"/>
      <c r="AE1560" s="370">
        <f t="shared" si="218"/>
        <v>0</v>
      </c>
    </row>
    <row r="1561" spans="6:31" ht="20.25" customHeight="1">
      <c r="F1561" s="484">
        <v>50</v>
      </c>
      <c r="G1561" s="252" t="s">
        <v>1645</v>
      </c>
      <c r="H1561" s="296" t="s">
        <v>862</v>
      </c>
      <c r="I1561" s="252">
        <f>C67/1000</f>
        <v>6.04</v>
      </c>
      <c r="J1561" s="296" t="s">
        <v>1645</v>
      </c>
      <c r="K1561" s="252">
        <f>(F1561*I1561)</f>
        <v>302</v>
      </c>
      <c r="W1561" s="253"/>
      <c r="AE1561" s="370">
        <f t="shared" si="218"/>
        <v>0</v>
      </c>
    </row>
    <row r="1562" spans="6:31" ht="20.25" customHeight="1">
      <c r="F1562" s="484">
        <v>1</v>
      </c>
      <c r="G1562" s="252" t="s">
        <v>449</v>
      </c>
      <c r="H1562" s="296" t="s">
        <v>589</v>
      </c>
      <c r="I1562" s="485">
        <v>75</v>
      </c>
      <c r="J1562" s="296" t="s">
        <v>449</v>
      </c>
      <c r="K1562" s="252">
        <f>(F1562*I1562)</f>
        <v>75</v>
      </c>
      <c r="W1562" s="253"/>
      <c r="AE1562" s="370">
        <f t="shared" si="218"/>
        <v>0</v>
      </c>
    </row>
    <row r="1563" spans="6:31" ht="20.25" customHeight="1">
      <c r="F1563" s="484">
        <v>1</v>
      </c>
      <c r="G1563" s="252" t="s">
        <v>449</v>
      </c>
      <c r="H1563" s="296" t="s">
        <v>590</v>
      </c>
      <c r="I1563" s="252">
        <f>C38</f>
        <v>40</v>
      </c>
      <c r="J1563" s="296" t="s">
        <v>449</v>
      </c>
      <c r="K1563" s="252">
        <f>(F1563*I1563)</f>
        <v>40</v>
      </c>
      <c r="W1563" s="253"/>
      <c r="AE1563" s="370">
        <f t="shared" si="218"/>
        <v>0</v>
      </c>
    </row>
    <row r="1564" spans="6:31" ht="20.25" customHeight="1">
      <c r="F1564" s="484">
        <v>2.5</v>
      </c>
      <c r="G1564" s="252" t="s">
        <v>449</v>
      </c>
      <c r="H1564" s="296" t="s">
        <v>591</v>
      </c>
      <c r="I1564" s="252">
        <f>D14</f>
        <v>772</v>
      </c>
      <c r="J1564" s="296" t="s">
        <v>449</v>
      </c>
      <c r="K1564" s="252">
        <f>(F1564*I1564)</f>
        <v>1930</v>
      </c>
      <c r="W1564" s="253"/>
      <c r="AE1564" s="370">
        <f t="shared" si="218"/>
        <v>0</v>
      </c>
    </row>
    <row r="1565" spans="6:31" ht="20.25" customHeight="1">
      <c r="F1565" s="484"/>
      <c r="G1565" s="252" t="s">
        <v>449</v>
      </c>
      <c r="H1565" s="296" t="s">
        <v>506</v>
      </c>
      <c r="J1565" s="296" t="s">
        <v>449</v>
      </c>
      <c r="K1565" s="407">
        <v>1.5</v>
      </c>
      <c r="W1565" s="253"/>
      <c r="AE1565" s="370">
        <f t="shared" si="218"/>
        <v>0</v>
      </c>
    </row>
    <row r="1566" spans="6:31" ht="20.25" customHeight="1">
      <c r="F1566" s="484"/>
      <c r="K1566" s="358" t="s">
        <v>1586</v>
      </c>
      <c r="W1566" s="253"/>
      <c r="AE1566" s="370">
        <f t="shared" si="218"/>
        <v>0</v>
      </c>
    </row>
    <row r="1567" spans="6:31" ht="20.25" customHeight="1">
      <c r="F1567" s="484"/>
      <c r="H1567" s="255" t="s">
        <v>592</v>
      </c>
      <c r="I1567" s="274"/>
      <c r="J1567" s="276"/>
      <c r="K1567" s="274">
        <f>SUM(K1559:K1565)</f>
        <v>4672.5</v>
      </c>
      <c r="W1567" s="253"/>
      <c r="AE1567" s="370">
        <f t="shared" si="218"/>
        <v>0</v>
      </c>
    </row>
    <row r="1568" spans="6:31" ht="20.25" customHeight="1">
      <c r="F1568" s="484"/>
      <c r="H1568" s="296"/>
      <c r="K1568" s="358" t="s">
        <v>1586</v>
      </c>
      <c r="W1568" s="253"/>
      <c r="AE1568" s="370">
        <f t="shared" si="218"/>
        <v>0</v>
      </c>
    </row>
    <row r="1569" spans="6:31" ht="20.25" customHeight="1">
      <c r="F1569" s="486"/>
      <c r="G1569" s="487"/>
      <c r="H1569" s="487"/>
      <c r="I1569" s="487"/>
      <c r="J1569" s="488"/>
      <c r="K1569" s="489"/>
      <c r="W1569" s="253"/>
      <c r="AE1569" s="370">
        <f t="shared" si="218"/>
        <v>0</v>
      </c>
    </row>
    <row r="1570" spans="6:31" ht="20.25" customHeight="1">
      <c r="F1570" s="490" t="s">
        <v>1046</v>
      </c>
      <c r="G1570" s="482" t="s">
        <v>2251</v>
      </c>
      <c r="H1570" s="483" t="s">
        <v>551</v>
      </c>
      <c r="I1570" s="482"/>
      <c r="J1570" s="483"/>
      <c r="K1570" s="482"/>
      <c r="W1570" s="253"/>
      <c r="AE1570" s="370">
        <f t="shared" si="218"/>
        <v>0</v>
      </c>
    </row>
    <row r="1571" spans="6:31" ht="20.25" customHeight="1">
      <c r="F1571" s="484"/>
      <c r="H1571" s="296" t="s">
        <v>2134</v>
      </c>
      <c r="W1571" s="253"/>
      <c r="AE1571" s="370">
        <f t="shared" si="218"/>
        <v>0</v>
      </c>
    </row>
    <row r="1572" spans="6:31" ht="20.25" customHeight="1">
      <c r="F1572" s="484"/>
      <c r="H1572" s="358" t="s">
        <v>1586</v>
      </c>
      <c r="W1572" s="253"/>
      <c r="AE1572" s="370">
        <f t="shared" si="218"/>
        <v>0</v>
      </c>
    </row>
    <row r="1573" spans="6:31" ht="20.25" customHeight="1">
      <c r="F1573" s="484">
        <v>1</v>
      </c>
      <c r="G1573" s="252" t="s">
        <v>526</v>
      </c>
      <c r="H1573" s="296" t="s">
        <v>527</v>
      </c>
      <c r="I1573" s="252">
        <f>(C139)</f>
        <v>58000</v>
      </c>
      <c r="J1573" s="296" t="s">
        <v>528</v>
      </c>
      <c r="K1573" s="252">
        <f>(F1573*I1573)/10</f>
        <v>5800</v>
      </c>
      <c r="W1573" s="253"/>
      <c r="AE1573" s="370">
        <f t="shared" si="218"/>
        <v>0</v>
      </c>
    </row>
    <row r="1574" spans="6:31" ht="20.25" customHeight="1">
      <c r="F1574" s="491">
        <v>0.01</v>
      </c>
      <c r="G1574" s="252" t="s">
        <v>526</v>
      </c>
      <c r="H1574" s="296" t="s">
        <v>192</v>
      </c>
      <c r="I1574" s="252">
        <f>(C143)</f>
        <v>56350</v>
      </c>
      <c r="J1574" s="296" t="s">
        <v>528</v>
      </c>
      <c r="K1574" s="252">
        <f>(F1574*I1574)/10</f>
        <v>56.35</v>
      </c>
      <c r="W1574" s="253"/>
      <c r="AE1574" s="370">
        <f t="shared" si="218"/>
        <v>0</v>
      </c>
    </row>
    <row r="1575" spans="6:31" ht="20.25" customHeight="1">
      <c r="F1575" s="491">
        <v>3.5</v>
      </c>
      <c r="G1575" s="252" t="s">
        <v>769</v>
      </c>
      <c r="H1575" s="296" t="s">
        <v>529</v>
      </c>
      <c r="I1575" s="252">
        <f>AE38</f>
        <v>866</v>
      </c>
      <c r="J1575" s="296" t="s">
        <v>1398</v>
      </c>
      <c r="K1575" s="252">
        <f>(F1575*I1575)</f>
        <v>3031</v>
      </c>
      <c r="W1575" s="253"/>
      <c r="AE1575" s="370">
        <f t="shared" si="218"/>
        <v>0</v>
      </c>
    </row>
    <row r="1576" spans="6:31" ht="20.25" customHeight="1">
      <c r="F1576" s="484">
        <v>1.3</v>
      </c>
      <c r="G1576" s="252" t="s">
        <v>1645</v>
      </c>
      <c r="H1576" s="296" t="s">
        <v>530</v>
      </c>
      <c r="I1576" s="252">
        <f>C67/1000</f>
        <v>6.04</v>
      </c>
      <c r="J1576" s="296" t="s">
        <v>1645</v>
      </c>
      <c r="K1576" s="252">
        <f>(F1576*I1576)</f>
        <v>7.85</v>
      </c>
      <c r="W1576" s="253"/>
      <c r="AE1576" s="370">
        <f t="shared" si="218"/>
        <v>0</v>
      </c>
    </row>
    <row r="1577" spans="6:31" ht="20.25" customHeight="1">
      <c r="F1577" s="484">
        <v>0.25</v>
      </c>
      <c r="G1577" s="252" t="s">
        <v>769</v>
      </c>
      <c r="H1577" s="296" t="s">
        <v>531</v>
      </c>
      <c r="I1577" s="252">
        <f>D14</f>
        <v>772</v>
      </c>
      <c r="J1577" s="296" t="s">
        <v>1398</v>
      </c>
      <c r="K1577" s="252">
        <f>(F1577*I1577)</f>
        <v>193</v>
      </c>
      <c r="W1577" s="253"/>
      <c r="AE1577" s="370">
        <f t="shared" si="218"/>
        <v>0</v>
      </c>
    </row>
    <row r="1578" spans="6:31" ht="20.25" customHeight="1">
      <c r="F1578" s="491"/>
      <c r="G1578" s="252" t="s">
        <v>449</v>
      </c>
      <c r="H1578" s="296" t="s">
        <v>450</v>
      </c>
      <c r="J1578" s="296" t="s">
        <v>449</v>
      </c>
      <c r="K1578" s="252">
        <f>(F1578*I1578)</f>
        <v>0</v>
      </c>
      <c r="W1578" s="253"/>
      <c r="AE1578" s="370">
        <f t="shared" si="218"/>
        <v>0</v>
      </c>
    </row>
    <row r="1579" spans="6:31" ht="20.25" customHeight="1">
      <c r="F1579" s="491"/>
      <c r="K1579" s="358" t="s">
        <v>1586</v>
      </c>
      <c r="W1579" s="253"/>
      <c r="AE1579" s="370">
        <f t="shared" si="218"/>
        <v>0</v>
      </c>
    </row>
    <row r="1580" spans="6:31" ht="20.25" customHeight="1">
      <c r="F1580" s="491"/>
      <c r="H1580" s="296" t="s">
        <v>532</v>
      </c>
      <c r="K1580" s="252">
        <f>SUM(K1573:K1578)</f>
        <v>9088.2000000000007</v>
      </c>
      <c r="W1580" s="253"/>
      <c r="AE1580" s="370">
        <f t="shared" si="218"/>
        <v>0</v>
      </c>
    </row>
    <row r="1581" spans="6:31" ht="20.25" customHeight="1">
      <c r="F1581" s="491"/>
      <c r="K1581" s="358" t="s">
        <v>1586</v>
      </c>
      <c r="W1581" s="253"/>
      <c r="AE1581" s="370">
        <f t="shared" si="218"/>
        <v>0</v>
      </c>
    </row>
    <row r="1582" spans="6:31" ht="20.25" customHeight="1">
      <c r="F1582" s="492"/>
      <c r="G1582" s="487"/>
      <c r="H1582" s="493" t="s">
        <v>533</v>
      </c>
      <c r="I1582" s="494"/>
      <c r="J1582" s="495"/>
      <c r="K1582" s="494">
        <f>(K1580*10)</f>
        <v>90882</v>
      </c>
      <c r="W1582" s="253"/>
      <c r="AE1582" s="370">
        <f t="shared" si="218"/>
        <v>0</v>
      </c>
    </row>
    <row r="1583" spans="6:31" ht="20.25" customHeight="1">
      <c r="F1583" s="356"/>
      <c r="K1583" s="358"/>
      <c r="W1583" s="253"/>
      <c r="AE1583" s="370">
        <f t="shared" si="218"/>
        <v>0</v>
      </c>
    </row>
    <row r="1584" spans="6:31" ht="20.25" customHeight="1">
      <c r="F1584" s="356"/>
      <c r="K1584" s="358"/>
      <c r="W1584" s="253"/>
      <c r="AE1584" s="370">
        <f t="shared" si="218"/>
        <v>0</v>
      </c>
    </row>
    <row r="1585" spans="6:31" ht="20.25" customHeight="1">
      <c r="F1585" s="356"/>
      <c r="H1585" s="274" t="s">
        <v>534</v>
      </c>
      <c r="K1585" s="358"/>
      <c r="W1585" s="253"/>
      <c r="AE1585" s="370">
        <f t="shared" si="218"/>
        <v>0</v>
      </c>
    </row>
    <row r="1586" spans="6:31" ht="20.25" customHeight="1">
      <c r="F1586" s="252">
        <v>1</v>
      </c>
      <c r="G1586" s="252" t="s">
        <v>526</v>
      </c>
      <c r="H1586" s="296" t="s">
        <v>535</v>
      </c>
      <c r="I1586" s="252">
        <f>C138</f>
        <v>58000</v>
      </c>
      <c r="J1586" s="296" t="s">
        <v>528</v>
      </c>
      <c r="K1586" s="252">
        <f>(F1586*I1586)/10</f>
        <v>5800</v>
      </c>
      <c r="W1586" s="253"/>
      <c r="AE1586" s="370">
        <f t="shared" si="218"/>
        <v>0</v>
      </c>
    </row>
    <row r="1587" spans="6:31" ht="20.25" customHeight="1">
      <c r="F1587" s="356">
        <v>0.01</v>
      </c>
      <c r="G1587" s="252" t="s">
        <v>526</v>
      </c>
      <c r="H1587" s="296" t="s">
        <v>192</v>
      </c>
      <c r="I1587" s="252">
        <f>C143</f>
        <v>56350</v>
      </c>
      <c r="J1587" s="296" t="s">
        <v>528</v>
      </c>
      <c r="K1587" s="252">
        <f>(F1587*I1587)/10</f>
        <v>56.35</v>
      </c>
      <c r="W1587" s="253"/>
      <c r="AE1587" s="370">
        <f t="shared" si="218"/>
        <v>0</v>
      </c>
    </row>
    <row r="1588" spans="6:31" ht="20.25" customHeight="1">
      <c r="F1588" s="356">
        <v>3.5</v>
      </c>
      <c r="G1588" s="252" t="s">
        <v>769</v>
      </c>
      <c r="H1588" s="296" t="s">
        <v>529</v>
      </c>
      <c r="I1588" s="252">
        <f>I1575</f>
        <v>866</v>
      </c>
      <c r="J1588" s="296" t="s">
        <v>1398</v>
      </c>
      <c r="K1588" s="252">
        <f>(F1588*I1588)</f>
        <v>3031</v>
      </c>
      <c r="W1588" s="253"/>
      <c r="AE1588" s="370">
        <f t="shared" si="218"/>
        <v>0</v>
      </c>
    </row>
    <row r="1589" spans="6:31" ht="20.25" customHeight="1">
      <c r="F1589" s="252">
        <v>1.3</v>
      </c>
      <c r="G1589" s="252" t="s">
        <v>1645</v>
      </c>
      <c r="H1589" s="296" t="s">
        <v>530</v>
      </c>
      <c r="I1589" s="252">
        <f>C67/1000</f>
        <v>6.04</v>
      </c>
      <c r="J1589" s="296" t="s">
        <v>1645</v>
      </c>
      <c r="K1589" s="252">
        <f>(F1589*I1589)</f>
        <v>7.85</v>
      </c>
      <c r="W1589" s="253"/>
      <c r="AE1589" s="370">
        <f t="shared" si="218"/>
        <v>0</v>
      </c>
    </row>
    <row r="1590" spans="6:31" ht="20.25" customHeight="1">
      <c r="F1590" s="252">
        <v>0.25</v>
      </c>
      <c r="G1590" s="252" t="s">
        <v>769</v>
      </c>
      <c r="H1590" s="296" t="s">
        <v>531</v>
      </c>
      <c r="I1590" s="252">
        <f>D14</f>
        <v>772</v>
      </c>
      <c r="J1590" s="296" t="s">
        <v>1398</v>
      </c>
      <c r="K1590" s="252">
        <f>(F1590*I1590)</f>
        <v>193</v>
      </c>
      <c r="W1590" s="253"/>
      <c r="AE1590" s="370">
        <f t="shared" si="218"/>
        <v>0</v>
      </c>
    </row>
    <row r="1591" spans="6:31" ht="20.25" customHeight="1">
      <c r="F1591" s="356"/>
      <c r="G1591" s="252" t="s">
        <v>449</v>
      </c>
      <c r="H1591" s="296" t="s">
        <v>450</v>
      </c>
      <c r="J1591" s="296" t="s">
        <v>449</v>
      </c>
      <c r="K1591" s="252">
        <f>(F1591*I1591)</f>
        <v>0</v>
      </c>
      <c r="W1591" s="253"/>
      <c r="AE1591" s="370">
        <f t="shared" si="218"/>
        <v>0</v>
      </c>
    </row>
    <row r="1592" spans="6:31" ht="20.25" customHeight="1">
      <c r="F1592" s="356"/>
      <c r="K1592" s="358" t="s">
        <v>1586</v>
      </c>
      <c r="W1592" s="253"/>
      <c r="AE1592" s="370">
        <f t="shared" si="218"/>
        <v>0</v>
      </c>
    </row>
    <row r="1593" spans="6:31" ht="20.25" customHeight="1">
      <c r="F1593" s="356"/>
      <c r="H1593" s="296" t="s">
        <v>532</v>
      </c>
      <c r="K1593" s="252">
        <f>SUM(K1586:K1591)</f>
        <v>9088.2000000000007</v>
      </c>
      <c r="W1593" s="253"/>
      <c r="AE1593" s="370">
        <f t="shared" si="218"/>
        <v>0</v>
      </c>
    </row>
    <row r="1594" spans="6:31" ht="20.25" customHeight="1">
      <c r="F1594" s="356"/>
      <c r="K1594" s="358" t="s">
        <v>1586</v>
      </c>
      <c r="W1594" s="253"/>
      <c r="AE1594" s="370">
        <f t="shared" si="218"/>
        <v>0</v>
      </c>
    </row>
    <row r="1595" spans="6:31" ht="20.25" customHeight="1">
      <c r="F1595" s="356" t="s">
        <v>975</v>
      </c>
      <c r="H1595" s="255" t="s">
        <v>533</v>
      </c>
      <c r="I1595" s="274"/>
      <c r="J1595" s="276"/>
      <c r="K1595" s="274">
        <f>(K1593*10)</f>
        <v>90882</v>
      </c>
      <c r="W1595" s="253"/>
      <c r="AE1595" s="370">
        <f t="shared" si="218"/>
        <v>0</v>
      </c>
    </row>
    <row r="1596" spans="6:31" ht="20.25" customHeight="1">
      <c r="F1596" s="356"/>
      <c r="K1596" s="358" t="s">
        <v>2055</v>
      </c>
      <c r="W1596" s="253"/>
      <c r="AE1596" s="370">
        <f t="shared" si="218"/>
        <v>0</v>
      </c>
    </row>
    <row r="1597" spans="6:31" ht="20.25" customHeight="1">
      <c r="F1597" s="356"/>
      <c r="H1597" s="296" t="s">
        <v>975</v>
      </c>
      <c r="K1597" s="296" t="s">
        <v>975</v>
      </c>
      <c r="W1597" s="253"/>
      <c r="AE1597" s="370">
        <f t="shared" si="218"/>
        <v>0</v>
      </c>
    </row>
    <row r="1598" spans="6:31" ht="20.25" customHeight="1">
      <c r="F1598" s="384" t="s">
        <v>536</v>
      </c>
      <c r="G1598" s="252" t="s">
        <v>1907</v>
      </c>
      <c r="H1598" s="296" t="s">
        <v>551</v>
      </c>
      <c r="O1598" s="274" t="s">
        <v>3876</v>
      </c>
      <c r="W1598" s="253"/>
      <c r="AE1598" s="370">
        <f t="shared" ref="AE1598:AE1661" si="220">AG1598</f>
        <v>0</v>
      </c>
    </row>
    <row r="1599" spans="6:31" ht="20.25" customHeight="1">
      <c r="F1599" s="356"/>
      <c r="H1599" s="296" t="s">
        <v>537</v>
      </c>
      <c r="M1599" s="384" t="s">
        <v>536</v>
      </c>
      <c r="N1599" s="252" t="s">
        <v>1907</v>
      </c>
      <c r="O1599" s="296" t="s">
        <v>551</v>
      </c>
      <c r="Q1599" s="296"/>
      <c r="W1599" s="253"/>
      <c r="AE1599" s="370">
        <f t="shared" si="220"/>
        <v>0</v>
      </c>
    </row>
    <row r="1600" spans="6:31" ht="20.25" customHeight="1">
      <c r="F1600" s="356"/>
      <c r="H1600" s="358" t="s">
        <v>1586</v>
      </c>
      <c r="M1600" s="356"/>
      <c r="O1600" s="296" t="s">
        <v>537</v>
      </c>
      <c r="Q1600" s="296"/>
      <c r="W1600" s="253"/>
      <c r="AE1600" s="370">
        <f t="shared" si="220"/>
        <v>0</v>
      </c>
    </row>
    <row r="1601" spans="6:31" ht="20.25"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0.25"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0.25" customHeight="1">
      <c r="F1603" s="356">
        <v>3.5</v>
      </c>
      <c r="G1603" s="252" t="s">
        <v>769</v>
      </c>
      <c r="H1603" s="296" t="s">
        <v>529</v>
      </c>
      <c r="I1603" s="252">
        <f>AE38</f>
        <v>866</v>
      </c>
      <c r="J1603" s="296" t="s">
        <v>769</v>
      </c>
      <c r="K1603" s="252">
        <f>(F1603*I1603)</f>
        <v>3031</v>
      </c>
      <c r="M1603" s="356">
        <v>0.01</v>
      </c>
      <c r="N1603" s="252" t="s">
        <v>526</v>
      </c>
      <c r="O1603" s="276" t="s">
        <v>4029</v>
      </c>
      <c r="P1603" s="456">
        <f>80000/112*100</f>
        <v>71428.570000000007</v>
      </c>
      <c r="Q1603" s="296" t="s">
        <v>528</v>
      </c>
      <c r="R1603" s="252">
        <f>(M1603*P1603)/10</f>
        <v>71.430000000000007</v>
      </c>
      <c r="W1603" s="253"/>
      <c r="AE1603" s="370">
        <f t="shared" si="220"/>
        <v>0</v>
      </c>
    </row>
    <row r="1604" spans="6:31" ht="20.25"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0.25" customHeight="1">
      <c r="K1605" s="358" t="s">
        <v>1586</v>
      </c>
      <c r="M1605" s="356"/>
      <c r="N1605" s="252" t="s">
        <v>449</v>
      </c>
      <c r="O1605" s="296" t="s">
        <v>450</v>
      </c>
      <c r="Q1605" s="296" t="s">
        <v>449</v>
      </c>
      <c r="R1605" s="252">
        <v>0</v>
      </c>
      <c r="W1605" s="253"/>
      <c r="AE1605" s="370">
        <f t="shared" si="220"/>
        <v>0</v>
      </c>
    </row>
    <row r="1606" spans="6:31" ht="20.25" customHeight="1">
      <c r="H1606" s="296" t="s">
        <v>532</v>
      </c>
      <c r="K1606" s="252">
        <f>SUM(K1601:K1604)</f>
        <v>8887.35</v>
      </c>
      <c r="Q1606" s="296"/>
      <c r="R1606" s="358" t="s">
        <v>1586</v>
      </c>
      <c r="W1606" s="253"/>
      <c r="AE1606" s="370">
        <f t="shared" si="220"/>
        <v>0</v>
      </c>
    </row>
    <row r="1607" spans="6:31" ht="20.25" customHeight="1">
      <c r="K1607" s="358" t="s">
        <v>1586</v>
      </c>
      <c r="O1607" s="296" t="s">
        <v>532</v>
      </c>
      <c r="Q1607" s="296"/>
      <c r="R1607" s="252">
        <f>SUM(R1602:R1605)</f>
        <v>8902.43</v>
      </c>
      <c r="W1607" s="253"/>
      <c r="AE1607" s="370">
        <f t="shared" si="220"/>
        <v>0</v>
      </c>
    </row>
    <row r="1608" spans="6:31" ht="20.25" customHeight="1">
      <c r="H1608" s="255" t="s">
        <v>533</v>
      </c>
      <c r="I1608" s="274"/>
      <c r="J1608" s="276"/>
      <c r="K1608" s="274">
        <f>(K1606*10)</f>
        <v>88873.5</v>
      </c>
      <c r="Q1608" s="296"/>
      <c r="R1608" s="358" t="s">
        <v>1586</v>
      </c>
      <c r="W1608" s="253"/>
      <c r="AE1608" s="370">
        <f t="shared" si="220"/>
        <v>0</v>
      </c>
    </row>
    <row r="1609" spans="6:31" ht="20.25" customHeight="1">
      <c r="H1609" s="296" t="s">
        <v>975</v>
      </c>
      <c r="K1609" s="296" t="s">
        <v>975</v>
      </c>
      <c r="O1609" s="255" t="s">
        <v>533</v>
      </c>
      <c r="P1609" s="274"/>
      <c r="Q1609" s="276"/>
      <c r="R1609" s="274">
        <f>(R1607*10)</f>
        <v>89024.3</v>
      </c>
      <c r="W1609" s="253"/>
      <c r="AE1609" s="370">
        <f t="shared" si="220"/>
        <v>0</v>
      </c>
    </row>
    <row r="1610" spans="6:31" ht="20.25" customHeight="1">
      <c r="G1610" s="252" t="s">
        <v>520</v>
      </c>
      <c r="H1610" s="296" t="s">
        <v>551</v>
      </c>
      <c r="K1610" s="296"/>
      <c r="W1610" s="253"/>
      <c r="AE1610" s="370">
        <f t="shared" si="220"/>
        <v>0</v>
      </c>
    </row>
    <row r="1611" spans="6:31" ht="20.25" customHeight="1">
      <c r="H1611" s="296" t="s">
        <v>1595</v>
      </c>
      <c r="K1611" s="296"/>
      <c r="N1611" s="252" t="s">
        <v>520</v>
      </c>
      <c r="O1611" s="296" t="s">
        <v>551</v>
      </c>
      <c r="Q1611" s="296"/>
      <c r="R1611" s="296"/>
      <c r="W1611" s="253"/>
      <c r="AE1611" s="370">
        <f t="shared" si="220"/>
        <v>0</v>
      </c>
    </row>
    <row r="1612" spans="6:31" ht="20.25" customHeight="1">
      <c r="F1612" s="356"/>
      <c r="H1612" s="358" t="s">
        <v>1586</v>
      </c>
      <c r="K1612" s="296"/>
      <c r="O1612" s="296" t="s">
        <v>1595</v>
      </c>
      <c r="Q1612" s="296"/>
      <c r="R1612" s="296"/>
      <c r="W1612" s="253"/>
      <c r="AE1612" s="370">
        <f t="shared" si="220"/>
        <v>0</v>
      </c>
    </row>
    <row r="1613" spans="6:31" ht="20.25"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0.25"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0.25"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0.25"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0.25" customHeight="1">
      <c r="K1617" s="358" t="s">
        <v>1586</v>
      </c>
      <c r="M1617" s="356"/>
      <c r="N1617" s="252" t="s">
        <v>526</v>
      </c>
      <c r="O1617" s="296" t="s">
        <v>450</v>
      </c>
      <c r="Q1617" s="296" t="s">
        <v>449</v>
      </c>
      <c r="R1617" s="252">
        <v>0</v>
      </c>
      <c r="W1617" s="253"/>
      <c r="AE1617" s="370">
        <f t="shared" si="220"/>
        <v>0</v>
      </c>
    </row>
    <row r="1618" spans="6:31" ht="20.25" customHeight="1">
      <c r="H1618" s="296" t="s">
        <v>532</v>
      </c>
      <c r="K1618" s="252">
        <f>SUM(K1613:K1616)</f>
        <v>8887.35</v>
      </c>
      <c r="Q1618" s="296"/>
      <c r="R1618" s="358" t="s">
        <v>1586</v>
      </c>
      <c r="W1618" s="253"/>
      <c r="AE1618" s="370">
        <f t="shared" si="220"/>
        <v>0</v>
      </c>
    </row>
    <row r="1619" spans="6:31" ht="20.25" customHeight="1">
      <c r="K1619" s="358" t="s">
        <v>1586</v>
      </c>
      <c r="O1619" s="296" t="s">
        <v>532</v>
      </c>
      <c r="Q1619" s="296"/>
      <c r="R1619" s="252">
        <f>SUM(R1614:R1617)</f>
        <v>8902.43</v>
      </c>
      <c r="W1619" s="253"/>
      <c r="AE1619" s="370">
        <f t="shared" si="220"/>
        <v>0</v>
      </c>
    </row>
    <row r="1620" spans="6:31" ht="20.25" customHeight="1">
      <c r="H1620" s="255" t="s">
        <v>533</v>
      </c>
      <c r="I1620" s="274"/>
      <c r="J1620" s="276"/>
      <c r="K1620" s="274">
        <f>(K1618*10)</f>
        <v>88873.5</v>
      </c>
      <c r="Q1620" s="296"/>
      <c r="R1620" s="358" t="s">
        <v>1586</v>
      </c>
      <c r="W1620" s="253"/>
      <c r="AE1620" s="370">
        <f t="shared" si="220"/>
        <v>0</v>
      </c>
    </row>
    <row r="1621" spans="6:31" ht="20.25" customHeight="1">
      <c r="H1621" s="296" t="s">
        <v>975</v>
      </c>
      <c r="O1621" s="255" t="s">
        <v>533</v>
      </c>
      <c r="P1621" s="274"/>
      <c r="Q1621" s="276"/>
      <c r="R1621" s="274">
        <f>(R1619*10)</f>
        <v>89024.3</v>
      </c>
      <c r="W1621" s="253"/>
      <c r="AE1621" s="370">
        <f t="shared" si="220"/>
        <v>0</v>
      </c>
    </row>
    <row r="1622" spans="6:31" ht="20.25" customHeight="1">
      <c r="F1622" s="375">
        <v>44.1</v>
      </c>
      <c r="G1622" s="252" t="s">
        <v>2251</v>
      </c>
      <c r="H1622" s="296" t="s">
        <v>1596</v>
      </c>
      <c r="W1622" s="253"/>
      <c r="AE1622" s="370">
        <f t="shared" si="220"/>
        <v>0</v>
      </c>
    </row>
    <row r="1623" spans="6:31" ht="20.25" customHeight="1">
      <c r="H1623" s="296" t="s">
        <v>1597</v>
      </c>
      <c r="R1623" s="252" t="s">
        <v>249</v>
      </c>
      <c r="W1623" s="253"/>
      <c r="AE1623" s="370">
        <f t="shared" si="220"/>
        <v>0</v>
      </c>
    </row>
    <row r="1624" spans="6:31" ht="20.25" customHeight="1">
      <c r="H1624" s="296" t="s">
        <v>6120</v>
      </c>
      <c r="M1624" s="375">
        <v>44.1</v>
      </c>
      <c r="N1624" s="252" t="s">
        <v>2251</v>
      </c>
      <c r="O1624" s="296" t="s">
        <v>1596</v>
      </c>
      <c r="W1624" s="253"/>
      <c r="AE1624" s="370">
        <f t="shared" si="220"/>
        <v>0</v>
      </c>
    </row>
    <row r="1625" spans="6:31" ht="20.25" customHeight="1">
      <c r="H1625" s="358" t="s">
        <v>1586</v>
      </c>
      <c r="O1625" s="296" t="s">
        <v>1597</v>
      </c>
      <c r="W1625" s="253"/>
      <c r="AE1625" s="370">
        <f t="shared" si="220"/>
        <v>0</v>
      </c>
    </row>
    <row r="1626" spans="6:31" ht="20.25" customHeight="1">
      <c r="F1626" s="252">
        <v>3</v>
      </c>
      <c r="G1626" s="252" t="s">
        <v>1771</v>
      </c>
      <c r="H1626" s="296" t="s">
        <v>2046</v>
      </c>
      <c r="I1626" s="252">
        <f>D620</f>
        <v>120.54</v>
      </c>
      <c r="J1626" s="296" t="s">
        <v>1771</v>
      </c>
      <c r="K1626" s="252">
        <f t="shared" ref="K1626:K1631" si="221">(F1626*I1626)</f>
        <v>361.62</v>
      </c>
      <c r="O1626" s="296" t="s">
        <v>6120</v>
      </c>
      <c r="W1626" s="253"/>
      <c r="AE1626" s="370">
        <f t="shared" si="220"/>
        <v>0</v>
      </c>
    </row>
    <row r="1627" spans="6:31" ht="20.25" customHeight="1">
      <c r="F1627" s="252">
        <v>1</v>
      </c>
      <c r="G1627" s="252" t="s">
        <v>868</v>
      </c>
      <c r="H1627" s="296" t="s">
        <v>2099</v>
      </c>
      <c r="I1627" s="420">
        <f>(C623)</f>
        <v>76</v>
      </c>
      <c r="J1627" s="296" t="s">
        <v>868</v>
      </c>
      <c r="K1627" s="252">
        <f t="shared" si="221"/>
        <v>76</v>
      </c>
      <c r="O1627" s="358" t="s">
        <v>1586</v>
      </c>
      <c r="W1627" s="253"/>
      <c r="AE1627" s="370">
        <f t="shared" si="220"/>
        <v>0</v>
      </c>
    </row>
    <row r="1628" spans="6:31" ht="20.25"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0.25"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0.25"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0.25" customHeight="1">
      <c r="F1631" s="252">
        <v>0.5</v>
      </c>
      <c r="G1631" s="252" t="s">
        <v>868</v>
      </c>
      <c r="H1631" s="296" t="s">
        <v>2103</v>
      </c>
      <c r="I1631" s="252">
        <f>(C15)</f>
        <v>866</v>
      </c>
      <c r="J1631" s="296" t="s">
        <v>868</v>
      </c>
      <c r="K1631" s="252">
        <f t="shared" si="221"/>
        <v>433</v>
      </c>
      <c r="M1631" s="274">
        <v>2</v>
      </c>
      <c r="N1631" s="274" t="s">
        <v>1030</v>
      </c>
      <c r="O1631" s="496" t="s">
        <v>4229</v>
      </c>
      <c r="P1631" s="314">
        <v>12</v>
      </c>
      <c r="Q1631" s="252" t="str">
        <f>J1631</f>
        <v>NO.</v>
      </c>
      <c r="R1631" s="252">
        <f t="shared" si="222"/>
        <v>24</v>
      </c>
      <c r="W1631" s="253"/>
      <c r="AE1631" s="370">
        <f t="shared" si="220"/>
        <v>0</v>
      </c>
    </row>
    <row r="1632" spans="6:31" ht="20.25"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0.25" customHeight="1">
      <c r="H1633" s="296" t="s">
        <v>20</v>
      </c>
      <c r="M1633" s="252">
        <v>0.5</v>
      </c>
      <c r="N1633" s="252" t="s">
        <v>1030</v>
      </c>
      <c r="O1633" s="296" t="s">
        <v>2103</v>
      </c>
      <c r="P1633" s="252">
        <f>I1631</f>
        <v>866</v>
      </c>
      <c r="R1633" s="252">
        <f t="shared" si="222"/>
        <v>433</v>
      </c>
      <c r="W1633" s="253"/>
      <c r="AE1633" s="370">
        <f t="shared" si="220"/>
        <v>0</v>
      </c>
    </row>
    <row r="1634" spans="6:31" ht="20.25" customHeight="1">
      <c r="K1634" s="358" t="s">
        <v>1586</v>
      </c>
      <c r="N1634" s="252" t="s">
        <v>1030</v>
      </c>
      <c r="O1634" s="296" t="s">
        <v>605</v>
      </c>
      <c r="P1634" s="252">
        <f>I1634</f>
        <v>0</v>
      </c>
      <c r="W1634" s="253"/>
      <c r="AE1634" s="370">
        <f t="shared" si="220"/>
        <v>0</v>
      </c>
    </row>
    <row r="1635" spans="6:31" ht="20.25" customHeight="1">
      <c r="H1635" s="296" t="s">
        <v>1317</v>
      </c>
      <c r="K1635" s="252">
        <f>SUM(K1626:K1632)</f>
        <v>1029.32</v>
      </c>
      <c r="O1635" s="296" t="s">
        <v>20</v>
      </c>
      <c r="R1635" s="252">
        <f>26.98+4.7</f>
        <v>31.68</v>
      </c>
      <c r="W1635" s="253"/>
      <c r="AE1635" s="370">
        <f t="shared" si="220"/>
        <v>0</v>
      </c>
    </row>
    <row r="1636" spans="6:31" ht="20.25" customHeight="1">
      <c r="F1636" s="296" t="s">
        <v>975</v>
      </c>
      <c r="W1636" s="253"/>
      <c r="AE1636" s="370">
        <f t="shared" si="220"/>
        <v>0</v>
      </c>
    </row>
    <row r="1637" spans="6:31" ht="20.25" customHeight="1">
      <c r="K1637" s="358" t="s">
        <v>1586</v>
      </c>
      <c r="O1637" s="296" t="s">
        <v>1317</v>
      </c>
      <c r="R1637" s="274">
        <f>SUM(R1628:R1636)</f>
        <v>1042.58</v>
      </c>
      <c r="W1637" s="253"/>
      <c r="AE1637" s="370">
        <f t="shared" si="220"/>
        <v>0</v>
      </c>
    </row>
    <row r="1638" spans="6:31" ht="20.25" customHeight="1">
      <c r="H1638" s="255" t="s">
        <v>1545</v>
      </c>
      <c r="I1638" s="274"/>
      <c r="J1638" s="276"/>
      <c r="K1638" s="274">
        <f>(K1635/3)</f>
        <v>343.11</v>
      </c>
      <c r="W1638" s="253"/>
      <c r="AE1638" s="370">
        <f t="shared" si="220"/>
        <v>0</v>
      </c>
    </row>
    <row r="1639" spans="6:31" ht="20.25" customHeight="1">
      <c r="H1639" s="296"/>
      <c r="K1639" s="358" t="s">
        <v>2055</v>
      </c>
      <c r="Q1639" s="296"/>
      <c r="R1639" s="358" t="s">
        <v>1586</v>
      </c>
      <c r="W1639" s="253"/>
      <c r="AE1639" s="370">
        <f t="shared" si="220"/>
        <v>0</v>
      </c>
    </row>
    <row r="1640" spans="6:31" ht="20.25"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0.25" customHeight="1">
      <c r="H1641" s="296" t="s">
        <v>15</v>
      </c>
      <c r="O1641" s="296"/>
      <c r="Q1641" s="296"/>
      <c r="R1641" s="358" t="s">
        <v>2055</v>
      </c>
      <c r="W1641" s="253"/>
      <c r="AE1641" s="370">
        <f t="shared" si="220"/>
        <v>0</v>
      </c>
    </row>
    <row r="1642" spans="6:31" ht="20.25" customHeight="1">
      <c r="H1642" s="296" t="s">
        <v>2036</v>
      </c>
      <c r="W1642" s="253"/>
      <c r="AE1642" s="370">
        <f t="shared" si="220"/>
        <v>0</v>
      </c>
    </row>
    <row r="1643" spans="6:31" ht="20.25" customHeight="1">
      <c r="H1643" s="358" t="s">
        <v>1586</v>
      </c>
      <c r="W1643" s="253"/>
      <c r="AE1643" s="370">
        <f t="shared" si="220"/>
        <v>0</v>
      </c>
    </row>
    <row r="1644" spans="6:31" ht="20.25" customHeight="1">
      <c r="F1644" s="252">
        <v>0.15</v>
      </c>
      <c r="G1644" s="252" t="s">
        <v>869</v>
      </c>
      <c r="H1644" s="296" t="s">
        <v>2037</v>
      </c>
      <c r="I1644" s="252">
        <f>(C70)</f>
        <v>1092.6099999999999</v>
      </c>
      <c r="J1644" s="296" t="s">
        <v>869</v>
      </c>
      <c r="K1644" s="252">
        <f>(F1644*I1644)</f>
        <v>163.89</v>
      </c>
      <c r="W1644" s="253"/>
      <c r="AE1644" s="370">
        <f t="shared" si="220"/>
        <v>0</v>
      </c>
    </row>
    <row r="1645" spans="6:31" ht="20.25" customHeight="1">
      <c r="F1645" s="316">
        <v>8.6499999999999994E-2</v>
      </c>
      <c r="G1645" s="252" t="s">
        <v>861</v>
      </c>
      <c r="H1645" s="296" t="s">
        <v>862</v>
      </c>
      <c r="I1645" s="252">
        <f>(C67)</f>
        <v>6040</v>
      </c>
      <c r="J1645" s="296" t="s">
        <v>861</v>
      </c>
      <c r="K1645" s="252">
        <f>(F1645*I1645)</f>
        <v>522.46</v>
      </c>
      <c r="W1645" s="253"/>
      <c r="AE1645" s="370">
        <f t="shared" si="220"/>
        <v>0</v>
      </c>
    </row>
    <row r="1646" spans="6:31" ht="20.25" customHeight="1">
      <c r="F1646" s="252">
        <v>1.6</v>
      </c>
      <c r="G1646" s="252" t="s">
        <v>769</v>
      </c>
      <c r="H1646" s="296" t="s">
        <v>2009</v>
      </c>
      <c r="I1646" s="252">
        <f>(C10)</f>
        <v>999</v>
      </c>
      <c r="J1646" s="296" t="s">
        <v>769</v>
      </c>
      <c r="K1646" s="252">
        <f>(F1646*I1646)</f>
        <v>1598.4</v>
      </c>
      <c r="W1646" s="253"/>
      <c r="AE1646" s="370">
        <f t="shared" si="220"/>
        <v>0</v>
      </c>
    </row>
    <row r="1647" spans="6:31" ht="20.25" customHeight="1">
      <c r="F1647" s="252">
        <v>0.5</v>
      </c>
      <c r="G1647" s="252" t="s">
        <v>769</v>
      </c>
      <c r="H1647" s="296" t="s">
        <v>1902</v>
      </c>
      <c r="I1647" s="252">
        <f>(C12)</f>
        <v>651</v>
      </c>
      <c r="J1647" s="296" t="s">
        <v>769</v>
      </c>
      <c r="K1647" s="252">
        <f>(F1647*I1647)</f>
        <v>325.5</v>
      </c>
      <c r="W1647" s="253"/>
      <c r="AE1647" s="370">
        <f t="shared" si="220"/>
        <v>0</v>
      </c>
    </row>
    <row r="1648" spans="6:31" ht="20.25" customHeight="1">
      <c r="F1648" s="252">
        <v>1.1000000000000001</v>
      </c>
      <c r="G1648" s="252" t="s">
        <v>769</v>
      </c>
      <c r="H1648" s="296" t="s">
        <v>320</v>
      </c>
      <c r="I1648" s="252">
        <f>(C13)</f>
        <v>534</v>
      </c>
      <c r="J1648" s="296" t="s">
        <v>769</v>
      </c>
      <c r="K1648" s="252">
        <f>(F1648*I1648)</f>
        <v>587.4</v>
      </c>
      <c r="W1648" s="253"/>
      <c r="AE1648" s="370">
        <f t="shared" si="220"/>
        <v>0</v>
      </c>
    </row>
    <row r="1649" spans="6:31" ht="20.25" customHeight="1">
      <c r="G1649" s="252" t="s">
        <v>449</v>
      </c>
      <c r="H1649" s="296" t="s">
        <v>450</v>
      </c>
      <c r="I1649" s="296" t="s">
        <v>975</v>
      </c>
      <c r="J1649" s="296" t="s">
        <v>449</v>
      </c>
      <c r="K1649" s="252">
        <v>0</v>
      </c>
      <c r="W1649" s="253"/>
      <c r="AE1649" s="370">
        <f t="shared" si="220"/>
        <v>0</v>
      </c>
    </row>
    <row r="1650" spans="6:31" ht="20.25" customHeight="1">
      <c r="K1650" s="358" t="s">
        <v>1586</v>
      </c>
      <c r="W1650" s="253"/>
      <c r="AE1650" s="370">
        <f t="shared" si="220"/>
        <v>0</v>
      </c>
    </row>
    <row r="1651" spans="6:31" ht="20.25" customHeight="1">
      <c r="H1651" s="296" t="s">
        <v>441</v>
      </c>
      <c r="K1651" s="252">
        <f>SUM(K1644:K1649)</f>
        <v>3197.65</v>
      </c>
      <c r="W1651" s="253"/>
      <c r="AE1651" s="370">
        <f t="shared" si="220"/>
        <v>0</v>
      </c>
    </row>
    <row r="1652" spans="6:31" ht="20.25" customHeight="1">
      <c r="K1652" s="358" t="s">
        <v>1586</v>
      </c>
      <c r="W1652" s="253"/>
      <c r="AE1652" s="370">
        <f t="shared" si="220"/>
        <v>0</v>
      </c>
    </row>
    <row r="1653" spans="6:31" ht="20.25" customHeight="1">
      <c r="H1653" s="255" t="s">
        <v>552</v>
      </c>
      <c r="I1653" s="274"/>
      <c r="J1653" s="276"/>
      <c r="K1653" s="274">
        <f>(K1651/10)</f>
        <v>319.77</v>
      </c>
      <c r="W1653" s="253"/>
      <c r="AE1653" s="370">
        <f t="shared" si="220"/>
        <v>0</v>
      </c>
    </row>
    <row r="1654" spans="6:31" ht="20.25" customHeight="1">
      <c r="K1654" s="358" t="s">
        <v>2055</v>
      </c>
      <c r="W1654" s="253"/>
      <c r="AE1654" s="370">
        <f t="shared" si="220"/>
        <v>0</v>
      </c>
    </row>
    <row r="1655" spans="6:31" ht="20.25" customHeight="1">
      <c r="F1655" s="253" t="s">
        <v>2038</v>
      </c>
      <c r="G1655" s="252" t="s">
        <v>2251</v>
      </c>
      <c r="H1655" s="296" t="s">
        <v>2039</v>
      </c>
      <c r="W1655" s="253"/>
      <c r="AE1655" s="370">
        <f t="shared" si="220"/>
        <v>0</v>
      </c>
    </row>
    <row r="1656" spans="6:31" ht="20.25" customHeight="1">
      <c r="H1656" s="296" t="s">
        <v>1211</v>
      </c>
      <c r="W1656" s="253"/>
      <c r="AE1656" s="370">
        <f t="shared" si="220"/>
        <v>0</v>
      </c>
    </row>
    <row r="1657" spans="6:31" ht="20.25" customHeight="1">
      <c r="H1657" s="296" t="s">
        <v>1212</v>
      </c>
      <c r="J1657" s="296" t="s">
        <v>975</v>
      </c>
      <c r="W1657" s="253"/>
      <c r="AE1657" s="370">
        <f t="shared" si="220"/>
        <v>0</v>
      </c>
    </row>
    <row r="1658" spans="6:31" ht="20.25" customHeight="1">
      <c r="H1658" s="296" t="s">
        <v>1107</v>
      </c>
      <c r="W1658" s="253"/>
      <c r="AE1658" s="370">
        <f t="shared" si="220"/>
        <v>0</v>
      </c>
    </row>
    <row r="1659" spans="6:31" ht="20.25" customHeight="1">
      <c r="H1659" s="296" t="s">
        <v>1026</v>
      </c>
      <c r="W1659" s="253"/>
      <c r="AE1659" s="370">
        <f t="shared" si="220"/>
        <v>0</v>
      </c>
    </row>
    <row r="1660" spans="6:31" ht="20.25" customHeight="1">
      <c r="H1660" s="296" t="s">
        <v>1812</v>
      </c>
      <c r="W1660" s="253"/>
      <c r="AE1660" s="370">
        <f t="shared" si="220"/>
        <v>0</v>
      </c>
    </row>
    <row r="1661" spans="6:31" ht="20.25" customHeight="1">
      <c r="H1661" s="296" t="s">
        <v>278</v>
      </c>
      <c r="W1661" s="253"/>
      <c r="AE1661" s="370">
        <f t="shared" si="220"/>
        <v>0</v>
      </c>
    </row>
    <row r="1662" spans="6:31" ht="20.25" customHeight="1">
      <c r="H1662" s="296" t="s">
        <v>279</v>
      </c>
      <c r="W1662" s="253"/>
      <c r="AE1662" s="370">
        <f t="shared" ref="AE1662:AE1695" si="223">AG1662</f>
        <v>0</v>
      </c>
    </row>
    <row r="1663" spans="6:31" ht="20.25" customHeight="1">
      <c r="H1663" s="296" t="s">
        <v>280</v>
      </c>
      <c r="W1663" s="253"/>
      <c r="AE1663" s="370">
        <f t="shared" si="223"/>
        <v>0</v>
      </c>
    </row>
    <row r="1664" spans="6:31" ht="20.25" customHeight="1">
      <c r="H1664" s="358" t="s">
        <v>2055</v>
      </c>
      <c r="W1664" s="253"/>
      <c r="AE1664" s="370">
        <f t="shared" si="223"/>
        <v>0</v>
      </c>
    </row>
    <row r="1665" spans="6:31" ht="20.25" customHeight="1">
      <c r="W1665" s="253"/>
      <c r="AE1665" s="370">
        <f t="shared" si="223"/>
        <v>0</v>
      </c>
    </row>
    <row r="1666" spans="6:31" ht="20.25" customHeight="1">
      <c r="F1666" s="252">
        <v>1</v>
      </c>
      <c r="G1666" s="252" t="s">
        <v>826</v>
      </c>
      <c r="H1666" s="296" t="s">
        <v>3506</v>
      </c>
      <c r="I1666" s="434">
        <v>45.72</v>
      </c>
      <c r="J1666" s="296" t="s">
        <v>826</v>
      </c>
      <c r="K1666" s="252">
        <f>(F1666*I1666)</f>
        <v>45.72</v>
      </c>
      <c r="W1666" s="253"/>
      <c r="AE1666" s="370">
        <f t="shared" si="223"/>
        <v>0</v>
      </c>
    </row>
    <row r="1667" spans="6:31" ht="20.25" customHeight="1">
      <c r="F1667" s="252">
        <v>1</v>
      </c>
      <c r="G1667" s="252" t="s">
        <v>282</v>
      </c>
      <c r="H1667" s="296" t="s">
        <v>1155</v>
      </c>
      <c r="I1667" s="434">
        <v>5</v>
      </c>
      <c r="J1667" s="296" t="s">
        <v>282</v>
      </c>
      <c r="K1667" s="252">
        <f>(F1667*I1667)</f>
        <v>5</v>
      </c>
      <c r="W1667" s="253"/>
      <c r="AE1667" s="370">
        <f t="shared" si="223"/>
        <v>0</v>
      </c>
    </row>
    <row r="1668" spans="6:31" ht="20.25" customHeight="1">
      <c r="G1668" s="252" t="s">
        <v>449</v>
      </c>
      <c r="H1668" s="296" t="s">
        <v>507</v>
      </c>
      <c r="J1668" s="296" t="s">
        <v>449</v>
      </c>
      <c r="K1668" s="252">
        <v>7.28</v>
      </c>
      <c r="W1668" s="253"/>
      <c r="AE1668" s="370">
        <f t="shared" si="223"/>
        <v>0</v>
      </c>
    </row>
    <row r="1669" spans="6:31" ht="20.25" customHeight="1">
      <c r="K1669" s="358" t="s">
        <v>1586</v>
      </c>
      <c r="W1669" s="253"/>
      <c r="AE1669" s="370">
        <f t="shared" si="223"/>
        <v>0</v>
      </c>
    </row>
    <row r="1670" spans="6:31" ht="20.25" customHeight="1">
      <c r="H1670" s="253" t="s">
        <v>1639</v>
      </c>
      <c r="K1670" s="252">
        <f>SUM(K1666:K1668)</f>
        <v>58</v>
      </c>
      <c r="W1670" s="253"/>
      <c r="AE1670" s="370">
        <f t="shared" si="223"/>
        <v>0</v>
      </c>
    </row>
    <row r="1671" spans="6:31" ht="20.25" customHeight="1">
      <c r="K1671" s="358" t="s">
        <v>2055</v>
      </c>
      <c r="W1671" s="253"/>
      <c r="AE1671" s="370">
        <f t="shared" si="223"/>
        <v>0</v>
      </c>
    </row>
    <row r="1672" spans="6:31" ht="20.25" customHeight="1">
      <c r="F1672" s="253" t="s">
        <v>1640</v>
      </c>
      <c r="G1672" s="252" t="s">
        <v>2251</v>
      </c>
      <c r="H1672" s="296" t="s">
        <v>6121</v>
      </c>
      <c r="W1672" s="253"/>
      <c r="AE1672" s="370">
        <f t="shared" si="223"/>
        <v>0</v>
      </c>
    </row>
    <row r="1673" spans="6:31" ht="20.25" customHeight="1">
      <c r="H1673" s="296" t="s">
        <v>402</v>
      </c>
      <c r="W1673" s="253"/>
      <c r="AE1673" s="370">
        <f t="shared" si="223"/>
        <v>0</v>
      </c>
    </row>
    <row r="1674" spans="6:31" ht="20.25" customHeight="1">
      <c r="H1674" s="296" t="s">
        <v>403</v>
      </c>
      <c r="W1674" s="253"/>
      <c r="AE1674" s="370">
        <f t="shared" si="223"/>
        <v>0</v>
      </c>
    </row>
    <row r="1675" spans="6:31" ht="20.25" customHeight="1">
      <c r="H1675" s="296" t="s">
        <v>400</v>
      </c>
      <c r="W1675" s="253"/>
      <c r="AE1675" s="370">
        <f t="shared" si="223"/>
        <v>0</v>
      </c>
    </row>
    <row r="1676" spans="6:31" ht="20.25" customHeight="1">
      <c r="H1676" s="296" t="s">
        <v>1759</v>
      </c>
      <c r="W1676" s="253"/>
      <c r="AE1676" s="370">
        <f t="shared" si="223"/>
        <v>0</v>
      </c>
    </row>
    <row r="1677" spans="6:31" ht="20.25" customHeight="1">
      <c r="H1677" s="358" t="s">
        <v>1586</v>
      </c>
      <c r="I1677" s="358" t="s">
        <v>1586</v>
      </c>
      <c r="W1677" s="253"/>
      <c r="AE1677" s="370">
        <f t="shared" si="223"/>
        <v>0</v>
      </c>
    </row>
    <row r="1678" spans="6:31" ht="20.25" customHeight="1">
      <c r="F1678" s="252">
        <v>1</v>
      </c>
      <c r="G1678" s="252" t="s">
        <v>1760</v>
      </c>
      <c r="H1678" s="296" t="s">
        <v>1552</v>
      </c>
      <c r="I1678" s="434">
        <v>85</v>
      </c>
      <c r="J1678" s="296" t="s">
        <v>1398</v>
      </c>
      <c r="K1678" s="252">
        <f>(F1678*I1678)</f>
        <v>85</v>
      </c>
      <c r="W1678" s="253"/>
      <c r="AE1678" s="370">
        <f t="shared" si="223"/>
        <v>0</v>
      </c>
    </row>
    <row r="1679" spans="6:31" ht="20.25" customHeight="1">
      <c r="G1679" s="252" t="s">
        <v>449</v>
      </c>
      <c r="H1679" s="296" t="s">
        <v>1553</v>
      </c>
      <c r="J1679" s="296" t="s">
        <v>449</v>
      </c>
      <c r="K1679" s="252">
        <v>7.5</v>
      </c>
      <c r="W1679" s="253"/>
      <c r="AE1679" s="370">
        <f t="shared" si="223"/>
        <v>0</v>
      </c>
    </row>
    <row r="1680" spans="6:31" ht="20.25" customHeight="1">
      <c r="G1680" s="252" t="s">
        <v>449</v>
      </c>
      <c r="H1680" s="296" t="s">
        <v>623</v>
      </c>
      <c r="J1680" s="296" t="s">
        <v>449</v>
      </c>
      <c r="K1680" s="252">
        <f>1.75+0.75</f>
        <v>2.5</v>
      </c>
      <c r="W1680" s="253"/>
      <c r="AE1680" s="370">
        <f t="shared" si="223"/>
        <v>0</v>
      </c>
    </row>
    <row r="1681" spans="6:31" ht="20.25" customHeight="1">
      <c r="H1681" s="296" t="s">
        <v>624</v>
      </c>
      <c r="K1681" s="358" t="s">
        <v>1586</v>
      </c>
      <c r="W1681" s="253"/>
      <c r="AE1681" s="370">
        <f t="shared" si="223"/>
        <v>0</v>
      </c>
    </row>
    <row r="1682" spans="6:31" ht="20.25" customHeight="1">
      <c r="H1682" s="253" t="s">
        <v>1639</v>
      </c>
      <c r="K1682" s="252">
        <f>SUM(K1678:K1680)</f>
        <v>95</v>
      </c>
      <c r="W1682" s="253"/>
      <c r="AE1682" s="370">
        <f t="shared" si="223"/>
        <v>0</v>
      </c>
    </row>
    <row r="1683" spans="6:31" ht="20.25" customHeight="1">
      <c r="K1683" s="358" t="s">
        <v>2055</v>
      </c>
      <c r="W1683" s="253"/>
      <c r="AE1683" s="370">
        <f t="shared" si="223"/>
        <v>0</v>
      </c>
    </row>
    <row r="1684" spans="6:31" ht="20.25" customHeight="1">
      <c r="F1684" s="253" t="s">
        <v>625</v>
      </c>
      <c r="G1684" s="252" t="s">
        <v>2251</v>
      </c>
      <c r="H1684" s="296" t="s">
        <v>6122</v>
      </c>
      <c r="W1684" s="253"/>
      <c r="AE1684" s="370">
        <f t="shared" si="223"/>
        <v>0</v>
      </c>
    </row>
    <row r="1685" spans="6:31" ht="20.25" customHeight="1">
      <c r="H1685" s="296" t="s">
        <v>626</v>
      </c>
      <c r="K1685" s="296" t="s">
        <v>975</v>
      </c>
      <c r="W1685" s="253"/>
      <c r="AE1685" s="370">
        <f t="shared" si="223"/>
        <v>0</v>
      </c>
    </row>
    <row r="1686" spans="6:31" ht="20.25" customHeight="1">
      <c r="H1686" s="358" t="s">
        <v>1586</v>
      </c>
      <c r="W1686" s="253"/>
      <c r="AE1686" s="370">
        <f t="shared" si="223"/>
        <v>0</v>
      </c>
    </row>
    <row r="1687" spans="6:31" ht="20.25" customHeight="1">
      <c r="F1687" s="252">
        <v>1</v>
      </c>
      <c r="G1687" s="252" t="s">
        <v>1760</v>
      </c>
      <c r="H1687" s="296" t="s">
        <v>627</v>
      </c>
      <c r="I1687" s="434">
        <v>50</v>
      </c>
      <c r="J1687" s="296" t="s">
        <v>1398</v>
      </c>
      <c r="K1687" s="252">
        <f>(F1687*I1687)</f>
        <v>50</v>
      </c>
      <c r="W1687" s="253"/>
      <c r="AE1687" s="370">
        <f t="shared" si="223"/>
        <v>0</v>
      </c>
    </row>
    <row r="1688" spans="6:31" ht="20.25" customHeight="1">
      <c r="G1688" s="252" t="s">
        <v>449</v>
      </c>
      <c r="H1688" s="296" t="s">
        <v>628</v>
      </c>
      <c r="J1688" s="296" t="s">
        <v>449</v>
      </c>
      <c r="K1688" s="252">
        <v>5</v>
      </c>
      <c r="W1688" s="253"/>
      <c r="AE1688" s="370">
        <f t="shared" si="223"/>
        <v>0</v>
      </c>
    </row>
    <row r="1689" spans="6:31" ht="20.25" customHeight="1">
      <c r="K1689" s="358" t="s">
        <v>1586</v>
      </c>
      <c r="W1689" s="253"/>
      <c r="AE1689" s="370">
        <f t="shared" si="223"/>
        <v>0</v>
      </c>
    </row>
    <row r="1690" spans="6:31" ht="20.25" customHeight="1">
      <c r="H1690" s="253" t="s">
        <v>629</v>
      </c>
      <c r="K1690" s="252">
        <f>SUM(K1686:K1688)</f>
        <v>55</v>
      </c>
      <c r="W1690" s="253"/>
      <c r="AE1690" s="370">
        <f t="shared" si="223"/>
        <v>0</v>
      </c>
    </row>
    <row r="1691" spans="6:31" ht="20.25" customHeight="1">
      <c r="K1691" s="358" t="s">
        <v>2055</v>
      </c>
      <c r="W1691" s="253"/>
      <c r="AE1691" s="370">
        <f t="shared" si="223"/>
        <v>0</v>
      </c>
    </row>
    <row r="1692" spans="6:31" ht="20.25" customHeight="1">
      <c r="F1692" s="253" t="s">
        <v>2148</v>
      </c>
      <c r="G1692" s="252" t="s">
        <v>2251</v>
      </c>
      <c r="H1692" s="296" t="s">
        <v>6123</v>
      </c>
      <c r="W1692" s="253"/>
      <c r="AE1692" s="370">
        <f t="shared" si="223"/>
        <v>0</v>
      </c>
    </row>
    <row r="1693" spans="6:31" ht="20.25" customHeight="1">
      <c r="H1693" s="358" t="s">
        <v>1586</v>
      </c>
      <c r="I1693" s="358" t="s">
        <v>1586</v>
      </c>
      <c r="W1693" s="253"/>
      <c r="AE1693" s="370">
        <f t="shared" si="223"/>
        <v>0</v>
      </c>
    </row>
    <row r="1694" spans="6:31" ht="20.25" customHeight="1">
      <c r="F1694" s="252">
        <v>1</v>
      </c>
      <c r="G1694" s="252" t="s">
        <v>1760</v>
      </c>
      <c r="H1694" s="296" t="s">
        <v>2149</v>
      </c>
      <c r="I1694" s="434">
        <v>1.2</v>
      </c>
      <c r="J1694" s="296" t="s">
        <v>1398</v>
      </c>
      <c r="K1694" s="252">
        <f>(F1694*I1694)</f>
        <v>1.2</v>
      </c>
      <c r="W1694" s="253"/>
      <c r="AE1694" s="370">
        <f t="shared" si="223"/>
        <v>0</v>
      </c>
    </row>
    <row r="1695" spans="6:31" ht="20.25" customHeight="1">
      <c r="G1695" s="252" t="s">
        <v>449</v>
      </c>
      <c r="H1695" s="296" t="s">
        <v>628</v>
      </c>
      <c r="J1695" s="296" t="s">
        <v>449</v>
      </c>
      <c r="K1695" s="252">
        <f>K1694*0.25</f>
        <v>0.3</v>
      </c>
      <c r="W1695" s="253"/>
      <c r="AE1695" s="370">
        <f t="shared" si="223"/>
        <v>0</v>
      </c>
    </row>
    <row r="1696" spans="6:31" ht="20.25" customHeight="1">
      <c r="K1696" s="358" t="s">
        <v>1586</v>
      </c>
      <c r="W1696" s="253"/>
    </row>
    <row r="1697" spans="6:23" ht="20.25" customHeight="1">
      <c r="H1697" s="253" t="s">
        <v>629</v>
      </c>
      <c r="K1697" s="252">
        <f>SUM(K1692:K1695)</f>
        <v>1.5</v>
      </c>
      <c r="W1697" s="253"/>
    </row>
    <row r="1698" spans="6:23" ht="20.25" customHeight="1">
      <c r="F1698" s="296" t="s">
        <v>975</v>
      </c>
      <c r="K1698" s="358" t="s">
        <v>1586</v>
      </c>
      <c r="W1698" s="253"/>
    </row>
    <row r="1699" spans="6:23" ht="20.25" customHeight="1">
      <c r="F1699" s="375">
        <v>50.1</v>
      </c>
      <c r="G1699" s="252" t="s">
        <v>2251</v>
      </c>
      <c r="H1699" s="296" t="s">
        <v>2165</v>
      </c>
      <c r="W1699" s="253"/>
    </row>
    <row r="1700" spans="6:23" ht="20.25" customHeight="1">
      <c r="H1700" s="296" t="s">
        <v>12</v>
      </c>
      <c r="W1700" s="253"/>
    </row>
    <row r="1701" spans="6:23" ht="20.25" customHeight="1">
      <c r="H1701" s="296" t="s">
        <v>41</v>
      </c>
      <c r="W1701" s="253"/>
    </row>
    <row r="1702" spans="6:23" ht="20.25" customHeight="1">
      <c r="H1702" s="296" t="s">
        <v>42</v>
      </c>
      <c r="W1702" s="253"/>
    </row>
    <row r="1703" spans="6:23" ht="20.25" customHeight="1">
      <c r="H1703" s="296" t="s">
        <v>43</v>
      </c>
      <c r="W1703" s="253"/>
    </row>
    <row r="1704" spans="6:23" ht="20.25" customHeight="1">
      <c r="H1704" s="358" t="s">
        <v>1586</v>
      </c>
      <c r="I1704" s="358" t="s">
        <v>1586</v>
      </c>
      <c r="W1704" s="253"/>
    </row>
    <row r="1705" spans="6:23" ht="20.25" customHeight="1">
      <c r="F1705" s="252">
        <v>9</v>
      </c>
      <c r="G1705" s="252" t="s">
        <v>2151</v>
      </c>
      <c r="H1705" s="296" t="s">
        <v>1574</v>
      </c>
      <c r="I1705" s="252">
        <f>C73</f>
        <v>1807.94</v>
      </c>
      <c r="J1705" s="296" t="s">
        <v>2151</v>
      </c>
      <c r="K1705" s="252">
        <f>(F1705*I1705)</f>
        <v>16271.46</v>
      </c>
      <c r="W1705" s="253"/>
    </row>
    <row r="1706" spans="6:23" ht="20.25" customHeight="1">
      <c r="F1706" s="252">
        <v>4.5</v>
      </c>
      <c r="G1706" s="252" t="s">
        <v>2151</v>
      </c>
      <c r="H1706" s="296" t="s">
        <v>1575</v>
      </c>
      <c r="I1706" s="252">
        <f>K32</f>
        <v>4756.78</v>
      </c>
      <c r="J1706" s="296" t="s">
        <v>2151</v>
      </c>
      <c r="K1706" s="252">
        <f>(F1706*I1706)</f>
        <v>21405.51</v>
      </c>
      <c r="W1706" s="253"/>
    </row>
    <row r="1707" spans="6:23" ht="20.25" customHeight="1">
      <c r="F1707" s="252">
        <v>1.8</v>
      </c>
      <c r="G1707" s="252" t="s">
        <v>560</v>
      </c>
      <c r="H1707" s="296" t="s">
        <v>1576</v>
      </c>
      <c r="I1707" s="252">
        <f>C11</f>
        <v>932</v>
      </c>
      <c r="J1707" s="296" t="s">
        <v>1398</v>
      </c>
      <c r="K1707" s="252">
        <f>(F1707*I1707)</f>
        <v>1677.6</v>
      </c>
      <c r="W1707" s="253"/>
    </row>
    <row r="1708" spans="6:23" ht="20.25" customHeight="1">
      <c r="F1708" s="252">
        <v>17.7</v>
      </c>
      <c r="G1708" s="252" t="s">
        <v>560</v>
      </c>
      <c r="H1708" s="296" t="s">
        <v>823</v>
      </c>
      <c r="I1708" s="252">
        <f>C12</f>
        <v>651</v>
      </c>
      <c r="J1708" s="296" t="s">
        <v>1398</v>
      </c>
      <c r="K1708" s="252">
        <f>(F1708*I1708)</f>
        <v>11522.7</v>
      </c>
      <c r="W1708" s="253"/>
    </row>
    <row r="1709" spans="6:23" ht="20.25" customHeight="1">
      <c r="F1709" s="252">
        <v>14.1</v>
      </c>
      <c r="G1709" s="252" t="s">
        <v>560</v>
      </c>
      <c r="H1709" s="296" t="s">
        <v>1372</v>
      </c>
      <c r="I1709" s="252">
        <f>C13</f>
        <v>534</v>
      </c>
      <c r="J1709" s="296" t="s">
        <v>1398</v>
      </c>
      <c r="K1709" s="252">
        <f>(F1709*I1709)</f>
        <v>7529.4</v>
      </c>
      <c r="W1709" s="253"/>
    </row>
    <row r="1710" spans="6:23" ht="20.25" customHeight="1">
      <c r="K1710" s="358" t="s">
        <v>1586</v>
      </c>
      <c r="W1710" s="253"/>
    </row>
    <row r="1711" spans="6:23" ht="20.25" customHeight="1">
      <c r="H1711" s="253" t="s">
        <v>1577</v>
      </c>
      <c r="K1711" s="252">
        <f>SUM(K1705:K1709)</f>
        <v>58406.67</v>
      </c>
      <c r="W1711" s="253"/>
    </row>
    <row r="1712" spans="6:23" ht="20.25" customHeight="1">
      <c r="K1712" s="358" t="s">
        <v>1586</v>
      </c>
      <c r="W1712" s="253"/>
    </row>
    <row r="1713" spans="6:23" ht="20.25" customHeight="1">
      <c r="H1713" s="253" t="s">
        <v>1578</v>
      </c>
      <c r="K1713" s="274">
        <f>(K1711/10)</f>
        <v>5840.67</v>
      </c>
      <c r="W1713" s="253"/>
    </row>
    <row r="1714" spans="6:23" ht="20.25" customHeight="1">
      <c r="K1714" s="358" t="s">
        <v>2055</v>
      </c>
      <c r="W1714" s="253"/>
    </row>
    <row r="1715" spans="6:23" ht="20.25" customHeight="1">
      <c r="W1715" s="253"/>
    </row>
    <row r="1716" spans="6:23" ht="20.25" customHeight="1">
      <c r="G1716" s="252" t="s">
        <v>675</v>
      </c>
      <c r="H1716" s="296" t="s">
        <v>1147</v>
      </c>
      <c r="W1716" s="253"/>
    </row>
    <row r="1717" spans="6:23" ht="20.25" customHeight="1">
      <c r="H1717" s="296" t="s">
        <v>6124</v>
      </c>
      <c r="W1717" s="253"/>
    </row>
    <row r="1718" spans="6:23" ht="20.25" customHeight="1">
      <c r="H1718" s="358" t="s">
        <v>1586</v>
      </c>
      <c r="I1718" s="358" t="s">
        <v>1586</v>
      </c>
      <c r="W1718" s="253"/>
    </row>
    <row r="1719" spans="6:23" ht="20.25" customHeight="1">
      <c r="W1719" s="253"/>
    </row>
    <row r="1720" spans="6:23" ht="20.25" customHeight="1">
      <c r="F1720" s="356">
        <v>0.314</v>
      </c>
      <c r="G1720" s="252" t="s">
        <v>2151</v>
      </c>
      <c r="H1720" s="296" t="s">
        <v>442</v>
      </c>
      <c r="I1720" s="252">
        <f>K1713</f>
        <v>5840.67</v>
      </c>
      <c r="J1720" s="296" t="s">
        <v>2151</v>
      </c>
      <c r="K1720" s="252">
        <f>(F1720*I1720)</f>
        <v>1833.97</v>
      </c>
      <c r="W1720" s="253"/>
    </row>
    <row r="1721" spans="6:23" ht="20.25" customHeight="1">
      <c r="F1721" s="252">
        <v>18</v>
      </c>
      <c r="G1721" s="252" t="s">
        <v>560</v>
      </c>
      <c r="H1721" s="376" t="s">
        <v>4230</v>
      </c>
      <c r="I1721" s="420">
        <v>41.87</v>
      </c>
      <c r="J1721" s="296" t="s">
        <v>1398</v>
      </c>
      <c r="K1721" s="252">
        <f>(F1721*I1721)</f>
        <v>753.66</v>
      </c>
      <c r="W1721" s="253"/>
    </row>
    <row r="1722" spans="6:23" ht="20.25" customHeight="1">
      <c r="F1722" s="252">
        <v>18</v>
      </c>
      <c r="G1722" s="252" t="s">
        <v>560</v>
      </c>
      <c r="H1722" s="296" t="s">
        <v>539</v>
      </c>
      <c r="I1722" s="252">
        <v>1</v>
      </c>
      <c r="J1722" s="296" t="s">
        <v>1398</v>
      </c>
      <c r="K1722" s="252">
        <f>(F1722*I1722)</f>
        <v>18</v>
      </c>
      <c r="W1722" s="253"/>
    </row>
    <row r="1723" spans="6:23" ht="20.25" customHeight="1">
      <c r="F1723" s="252">
        <v>18</v>
      </c>
      <c r="G1723" s="252" t="s">
        <v>560</v>
      </c>
      <c r="H1723" s="296" t="s">
        <v>540</v>
      </c>
      <c r="I1723" s="252">
        <v>2</v>
      </c>
      <c r="J1723" s="296" t="s">
        <v>1398</v>
      </c>
      <c r="K1723" s="252">
        <f>(F1723*I1723)</f>
        <v>36</v>
      </c>
      <c r="W1723" s="253"/>
    </row>
    <row r="1724" spans="6:23" ht="20.25" customHeight="1">
      <c r="K1724" s="358" t="s">
        <v>1586</v>
      </c>
      <c r="W1724" s="253"/>
    </row>
    <row r="1725" spans="6:23" ht="20.25" customHeight="1">
      <c r="H1725" s="253" t="s">
        <v>1949</v>
      </c>
      <c r="K1725" s="252">
        <f>SUM(K1719:K1723)</f>
        <v>2641.63</v>
      </c>
      <c r="W1725" s="253"/>
    </row>
    <row r="1726" spans="6:23" ht="20.25" customHeight="1">
      <c r="K1726" s="358" t="s">
        <v>1586</v>
      </c>
      <c r="W1726" s="253"/>
    </row>
    <row r="1727" spans="6:23" ht="20.25" customHeight="1">
      <c r="H1727" s="253" t="s">
        <v>1950</v>
      </c>
      <c r="K1727" s="274">
        <f>(K1725/6.28)</f>
        <v>420.64</v>
      </c>
      <c r="W1727" s="253"/>
    </row>
    <row r="1728" spans="6:23" ht="20.25" customHeight="1">
      <c r="K1728" s="358" t="s">
        <v>2055</v>
      </c>
      <c r="W1728" s="253"/>
    </row>
    <row r="1729" spans="6:23" ht="20.25" customHeight="1">
      <c r="F1729" s="296" t="s">
        <v>975</v>
      </c>
      <c r="H1729" s="296" t="s">
        <v>731</v>
      </c>
      <c r="W1729" s="253"/>
    </row>
    <row r="1730" spans="6:23" ht="20.25" customHeight="1">
      <c r="H1730" s="358" t="s">
        <v>1586</v>
      </c>
      <c r="W1730" s="253"/>
    </row>
    <row r="1731" spans="6:23" ht="20.25" customHeight="1">
      <c r="F1731" s="356">
        <v>0.01</v>
      </c>
      <c r="G1731" s="252" t="s">
        <v>2151</v>
      </c>
      <c r="H1731" s="296" t="s">
        <v>442</v>
      </c>
      <c r="I1731" s="252">
        <f>K1713</f>
        <v>5840.67</v>
      </c>
      <c r="J1731" s="296" t="s">
        <v>2151</v>
      </c>
      <c r="K1731" s="252">
        <f>ROUND(F1731*I1731,2)</f>
        <v>58.41</v>
      </c>
      <c r="W1731" s="253"/>
    </row>
    <row r="1732" spans="6:23" ht="20.25" customHeight="1">
      <c r="F1732" s="252">
        <v>0.01</v>
      </c>
      <c r="G1732" s="252" t="s">
        <v>1341</v>
      </c>
      <c r="H1732" s="296" t="s">
        <v>732</v>
      </c>
      <c r="I1732" s="407" t="s">
        <v>657</v>
      </c>
      <c r="K1732" s="252">
        <v>1.2</v>
      </c>
      <c r="W1732" s="253"/>
    </row>
    <row r="1733" spans="6:23" ht="20.25" customHeight="1">
      <c r="I1733" s="407"/>
      <c r="K1733" s="358" t="s">
        <v>1586</v>
      </c>
      <c r="W1733" s="253"/>
    </row>
    <row r="1734" spans="6:23" ht="20.25" customHeight="1">
      <c r="H1734" s="253" t="s">
        <v>740</v>
      </c>
      <c r="K1734" s="252">
        <f>SUM(K1728:K1732)</f>
        <v>59.61</v>
      </c>
      <c r="W1734" s="253"/>
    </row>
    <row r="1735" spans="6:23" ht="20.25" customHeight="1">
      <c r="K1735" s="358" t="s">
        <v>1586</v>
      </c>
      <c r="W1735" s="253"/>
    </row>
    <row r="1736" spans="6:23" ht="20.25" customHeight="1">
      <c r="H1736" s="253" t="s">
        <v>2175</v>
      </c>
      <c r="K1736" s="252">
        <f>K1734/0.01</f>
        <v>5961</v>
      </c>
      <c r="W1736" s="253"/>
    </row>
    <row r="1737" spans="6:23" ht="20.25" customHeight="1">
      <c r="K1737" s="358" t="s">
        <v>2055</v>
      </c>
      <c r="W1737" s="253"/>
    </row>
    <row r="1738" spans="6:23" ht="20.25" customHeight="1">
      <c r="F1738" s="253" t="s">
        <v>2176</v>
      </c>
      <c r="G1738" s="252" t="s">
        <v>675</v>
      </c>
      <c r="H1738" s="296" t="s">
        <v>1147</v>
      </c>
      <c r="W1738" s="253"/>
    </row>
    <row r="1739" spans="6:23" ht="20.25" customHeight="1">
      <c r="H1739" s="276" t="s">
        <v>6125</v>
      </c>
      <c r="W1739" s="253"/>
    </row>
    <row r="1740" spans="6:23" ht="20.25" customHeight="1">
      <c r="H1740" s="358" t="s">
        <v>1586</v>
      </c>
      <c r="I1740" s="358" t="s">
        <v>1586</v>
      </c>
      <c r="W1740" s="253"/>
    </row>
    <row r="1741" spans="6:23" ht="20.25" customHeight="1">
      <c r="F1741" s="356">
        <v>0.40500000000000003</v>
      </c>
      <c r="G1741" s="252" t="s">
        <v>2151</v>
      </c>
      <c r="H1741" s="296" t="s">
        <v>442</v>
      </c>
      <c r="I1741" s="252">
        <f>K1736</f>
        <v>5961</v>
      </c>
      <c r="J1741" s="296" t="s">
        <v>2151</v>
      </c>
      <c r="K1741" s="252">
        <f>(F1741*I1741)</f>
        <v>2414.21</v>
      </c>
      <c r="W1741" s="253"/>
    </row>
    <row r="1742" spans="6:23" ht="20.25" customHeight="1">
      <c r="F1742" s="296" t="s">
        <v>975</v>
      </c>
      <c r="G1742" s="252" t="s">
        <v>975</v>
      </c>
      <c r="H1742" s="296" t="s">
        <v>1648</v>
      </c>
      <c r="I1742" s="407" t="s">
        <v>657</v>
      </c>
      <c r="K1742" s="296" t="s">
        <v>975</v>
      </c>
      <c r="W1742" s="253"/>
    </row>
    <row r="1743" spans="6:23" ht="20.25" customHeight="1">
      <c r="K1743" s="358" t="s">
        <v>1586</v>
      </c>
      <c r="W1743" s="253"/>
    </row>
    <row r="1744" spans="6:23" ht="20.25" customHeight="1">
      <c r="H1744" s="253" t="s">
        <v>1649</v>
      </c>
      <c r="K1744" s="252">
        <f>SUM(K1738:K1742)</f>
        <v>2414.21</v>
      </c>
      <c r="W1744" s="253"/>
    </row>
    <row r="1745" spans="6:23" ht="20.25" customHeight="1">
      <c r="K1745" s="358" t="s">
        <v>1586</v>
      </c>
      <c r="W1745" s="253"/>
    </row>
    <row r="1746" spans="6:23" ht="20.25" customHeight="1">
      <c r="H1746" s="253" t="s">
        <v>1650</v>
      </c>
      <c r="K1746" s="274">
        <f>K1744/9</f>
        <v>268.25</v>
      </c>
      <c r="W1746" s="253"/>
    </row>
    <row r="1747" spans="6:23" ht="20.25" customHeight="1">
      <c r="K1747" s="358" t="s">
        <v>2055</v>
      </c>
      <c r="W1747" s="253"/>
    </row>
    <row r="1748" spans="6:23" ht="20.25" customHeight="1">
      <c r="F1748" s="253" t="s">
        <v>1405</v>
      </c>
      <c r="H1748" s="296" t="s">
        <v>469</v>
      </c>
      <c r="W1748" s="253"/>
    </row>
    <row r="1749" spans="6:23" ht="20.25" customHeight="1">
      <c r="H1749" s="358" t="s">
        <v>1586</v>
      </c>
      <c r="W1749" s="253"/>
    </row>
    <row r="1750" spans="6:23" ht="20.25" customHeight="1">
      <c r="F1750" s="252">
        <v>4.32</v>
      </c>
      <c r="G1750" s="252" t="s">
        <v>869</v>
      </c>
      <c r="H1750" s="296" t="s">
        <v>357</v>
      </c>
      <c r="I1750" s="252">
        <f>C61</f>
        <v>112.05</v>
      </c>
      <c r="J1750" s="296" t="s">
        <v>869</v>
      </c>
      <c r="K1750" s="252">
        <f t="shared" ref="K1750:K1757" si="224">(F1750*I1750)</f>
        <v>484.06</v>
      </c>
      <c r="W1750" s="253"/>
    </row>
    <row r="1751" spans="6:23" ht="20.25" customHeight="1">
      <c r="F1751" s="252">
        <v>1.44</v>
      </c>
      <c r="G1751" s="252" t="s">
        <v>869</v>
      </c>
      <c r="H1751" s="296" t="s">
        <v>470</v>
      </c>
      <c r="I1751" s="434">
        <v>69.099999999999994</v>
      </c>
      <c r="J1751" s="296" t="s">
        <v>869</v>
      </c>
      <c r="K1751" s="252">
        <f t="shared" si="224"/>
        <v>99.5</v>
      </c>
      <c r="W1751" s="253"/>
    </row>
    <row r="1752" spans="6:23" ht="20.25" customHeight="1">
      <c r="F1752" s="252">
        <v>1.44</v>
      </c>
      <c r="G1752" s="252" t="s">
        <v>869</v>
      </c>
      <c r="H1752" s="296" t="s">
        <v>471</v>
      </c>
      <c r="I1752" s="252">
        <f>C35</f>
        <v>257.64999999999998</v>
      </c>
      <c r="J1752" s="296" t="s">
        <v>869</v>
      </c>
      <c r="K1752" s="252">
        <f t="shared" si="224"/>
        <v>371.02</v>
      </c>
      <c r="W1752" s="253"/>
    </row>
    <row r="1753" spans="6:23" ht="20.25" customHeight="1">
      <c r="F1753" s="252">
        <v>1.44</v>
      </c>
      <c r="G1753" s="252" t="s">
        <v>869</v>
      </c>
      <c r="H1753" s="296" t="s">
        <v>472</v>
      </c>
      <c r="I1753" s="252">
        <f>C78</f>
        <v>1741.58</v>
      </c>
      <c r="J1753" s="296" t="s">
        <v>869</v>
      </c>
      <c r="K1753" s="252">
        <f t="shared" si="224"/>
        <v>2507.88</v>
      </c>
      <c r="W1753" s="253"/>
    </row>
    <row r="1754" spans="6:23" ht="20.25" customHeight="1">
      <c r="F1754" s="252">
        <v>2.88</v>
      </c>
      <c r="G1754" s="252" t="s">
        <v>869</v>
      </c>
      <c r="H1754" s="296" t="s">
        <v>473</v>
      </c>
      <c r="I1754" s="420">
        <v>10</v>
      </c>
      <c r="J1754" s="296" t="s">
        <v>869</v>
      </c>
      <c r="K1754" s="252">
        <f t="shared" si="224"/>
        <v>28.8</v>
      </c>
      <c r="W1754" s="253"/>
    </row>
    <row r="1755" spans="6:23" ht="20.25" customHeight="1">
      <c r="F1755" s="252">
        <v>20</v>
      </c>
      <c r="G1755" s="252" t="s">
        <v>258</v>
      </c>
      <c r="H1755" s="296" t="s">
        <v>1624</v>
      </c>
      <c r="I1755" s="434">
        <v>46.1</v>
      </c>
      <c r="J1755" s="296" t="s">
        <v>258</v>
      </c>
      <c r="K1755" s="252">
        <f t="shared" si="224"/>
        <v>922</v>
      </c>
      <c r="W1755" s="253"/>
    </row>
    <row r="1756" spans="6:23" ht="20.25" customHeight="1">
      <c r="F1756" s="252">
        <v>42</v>
      </c>
      <c r="G1756" s="252" t="s">
        <v>2196</v>
      </c>
      <c r="H1756" s="296" t="s">
        <v>5320</v>
      </c>
      <c r="I1756" s="370">
        <v>17.5</v>
      </c>
      <c r="J1756" s="296" t="s">
        <v>2196</v>
      </c>
      <c r="K1756" s="252">
        <f t="shared" si="224"/>
        <v>735</v>
      </c>
      <c r="W1756" s="253"/>
    </row>
    <row r="1757" spans="6:23" ht="20.25" customHeight="1">
      <c r="F1757" s="252">
        <v>4.32</v>
      </c>
      <c r="G1757" s="252" t="s">
        <v>869</v>
      </c>
      <c r="H1757" s="296" t="s">
        <v>1616</v>
      </c>
      <c r="I1757" s="252">
        <f>C26</f>
        <v>38.950000000000003</v>
      </c>
      <c r="J1757" s="296" t="s">
        <v>869</v>
      </c>
      <c r="K1757" s="252">
        <f t="shared" si="224"/>
        <v>168.26</v>
      </c>
      <c r="W1757" s="253"/>
    </row>
    <row r="1758" spans="6:23" ht="20.25" customHeight="1">
      <c r="F1758" s="253" t="s">
        <v>733</v>
      </c>
      <c r="H1758" s="296" t="s">
        <v>1020</v>
      </c>
      <c r="K1758" s="252">
        <v>2000</v>
      </c>
      <c r="W1758" s="253"/>
    </row>
    <row r="1759" spans="6:23" ht="20.25" customHeight="1">
      <c r="K1759" s="358" t="s">
        <v>1586</v>
      </c>
      <c r="W1759" s="253"/>
    </row>
    <row r="1760" spans="6:23" ht="20.25" customHeight="1">
      <c r="H1760" s="296" t="s">
        <v>1021</v>
      </c>
      <c r="K1760" s="252">
        <f>SUM(K1750:K1758)</f>
        <v>7316.52</v>
      </c>
      <c r="W1760" s="253"/>
    </row>
    <row r="1761" spans="6:23" ht="20.25" customHeight="1">
      <c r="K1761" s="358" t="s">
        <v>1586</v>
      </c>
      <c r="W1761" s="253"/>
    </row>
    <row r="1762" spans="6:23" ht="20.25" customHeight="1">
      <c r="H1762" s="296" t="s">
        <v>1401</v>
      </c>
      <c r="K1762" s="274">
        <f>K1760/20</f>
        <v>365.83</v>
      </c>
      <c r="W1762" s="253"/>
    </row>
    <row r="1763" spans="6:23" ht="20.25" customHeight="1">
      <c r="K1763" s="358" t="s">
        <v>2055</v>
      </c>
      <c r="W1763" s="253"/>
    </row>
    <row r="1764" spans="6:23" ht="20.25" customHeight="1">
      <c r="W1764" s="253"/>
    </row>
    <row r="1765" spans="6:23" ht="20.25" customHeight="1">
      <c r="F1765" s="253" t="s">
        <v>1022</v>
      </c>
      <c r="H1765" s="296" t="s">
        <v>1316</v>
      </c>
      <c r="W1765" s="253"/>
    </row>
    <row r="1766" spans="6:23" ht="20.25" customHeight="1">
      <c r="H1766" s="358" t="s">
        <v>1586</v>
      </c>
      <c r="W1766" s="253"/>
    </row>
    <row r="1767" spans="6:23" ht="20.25" customHeight="1">
      <c r="F1767" s="252">
        <v>0.1</v>
      </c>
      <c r="G1767" s="252" t="s">
        <v>869</v>
      </c>
      <c r="H1767" s="296" t="s">
        <v>357</v>
      </c>
      <c r="I1767" s="252">
        <f>K90</f>
        <v>224.1</v>
      </c>
      <c r="J1767" s="296" t="s">
        <v>869</v>
      </c>
      <c r="K1767" s="252">
        <f t="shared" ref="K1767:K1772" si="225">(F1767*I1767)</f>
        <v>22.41</v>
      </c>
      <c r="W1767" s="253"/>
    </row>
    <row r="1768" spans="6:23" ht="20.25" customHeight="1">
      <c r="F1768" s="252">
        <v>6.3</v>
      </c>
      <c r="G1768" s="252" t="s">
        <v>2196</v>
      </c>
      <c r="H1768" s="296" t="s">
        <v>5868</v>
      </c>
      <c r="I1768" s="370">
        <v>34.6</v>
      </c>
      <c r="J1768" s="296" t="s">
        <v>2196</v>
      </c>
      <c r="K1768" s="252">
        <f t="shared" si="225"/>
        <v>217.98</v>
      </c>
      <c r="W1768" s="253"/>
    </row>
    <row r="1769" spans="6:23" ht="20.25" customHeight="1">
      <c r="F1769" s="252">
        <v>6.3</v>
      </c>
      <c r="G1769" s="252" t="s">
        <v>2196</v>
      </c>
      <c r="H1769" s="296" t="s">
        <v>1138</v>
      </c>
      <c r="I1769" s="252">
        <f>I1756</f>
        <v>17.5</v>
      </c>
      <c r="J1769" s="296" t="s">
        <v>2196</v>
      </c>
      <c r="K1769" s="252">
        <f t="shared" si="225"/>
        <v>110.25</v>
      </c>
      <c r="W1769" s="253"/>
    </row>
    <row r="1770" spans="6:23" ht="20.25" customHeight="1">
      <c r="F1770" s="252">
        <v>3.15</v>
      </c>
      <c r="G1770" s="252" t="s">
        <v>233</v>
      </c>
      <c r="H1770" s="296" t="s">
        <v>636</v>
      </c>
      <c r="I1770" s="252">
        <f>C198</f>
        <v>40.65</v>
      </c>
      <c r="J1770" s="296" t="s">
        <v>233</v>
      </c>
      <c r="K1770" s="252">
        <f t="shared" si="225"/>
        <v>128.05000000000001</v>
      </c>
      <c r="L1770" s="252" t="s">
        <v>183</v>
      </c>
      <c r="W1770" s="253"/>
    </row>
    <row r="1771" spans="6:23" ht="20.25" customHeight="1">
      <c r="F1771" s="252">
        <v>0.25</v>
      </c>
      <c r="G1771" s="252" t="s">
        <v>1760</v>
      </c>
      <c r="H1771" s="296" t="s">
        <v>637</v>
      </c>
      <c r="I1771" s="252">
        <f>D16</f>
        <v>932</v>
      </c>
      <c r="J1771" s="296" t="s">
        <v>1760</v>
      </c>
      <c r="K1771" s="252">
        <f t="shared" si="225"/>
        <v>233</v>
      </c>
      <c r="W1771" s="253"/>
    </row>
    <row r="1772" spans="6:23" ht="20.25" customHeight="1">
      <c r="F1772" s="252">
        <v>0.2</v>
      </c>
      <c r="G1772" s="252" t="s">
        <v>1760</v>
      </c>
      <c r="H1772" s="296" t="s">
        <v>638</v>
      </c>
      <c r="I1772" s="252">
        <f>AE38</f>
        <v>866</v>
      </c>
      <c r="J1772" s="296" t="s">
        <v>1760</v>
      </c>
      <c r="K1772" s="252">
        <f t="shared" si="225"/>
        <v>173.2</v>
      </c>
      <c r="W1772" s="253"/>
    </row>
    <row r="1773" spans="6:23" ht="20.25" customHeight="1">
      <c r="H1773" s="296" t="s">
        <v>508</v>
      </c>
      <c r="I1773" s="296" t="s">
        <v>975</v>
      </c>
      <c r="J1773" s="296" t="s">
        <v>975</v>
      </c>
      <c r="K1773" s="252">
        <v>0</v>
      </c>
      <c r="W1773" s="253"/>
    </row>
    <row r="1774" spans="6:23" ht="20.25" customHeight="1">
      <c r="J1774" s="296" t="s">
        <v>975</v>
      </c>
      <c r="K1774" s="358" t="s">
        <v>1586</v>
      </c>
      <c r="W1774" s="253"/>
    </row>
    <row r="1775" spans="6:23" ht="20.25" customHeight="1">
      <c r="F1775" s="296" t="s">
        <v>975</v>
      </c>
      <c r="G1775" s="252" t="s">
        <v>975</v>
      </c>
      <c r="H1775" s="296" t="s">
        <v>1401</v>
      </c>
      <c r="K1775" s="274">
        <f>SUM(K1767:K1774)</f>
        <v>884.89</v>
      </c>
      <c r="W1775" s="253"/>
    </row>
    <row r="1776" spans="6:23" ht="20.25" customHeight="1">
      <c r="H1776" s="296" t="s">
        <v>975</v>
      </c>
      <c r="K1776" s="358" t="s">
        <v>1586</v>
      </c>
      <c r="W1776" s="253"/>
    </row>
    <row r="1777" spans="6:23" ht="20.25" customHeight="1">
      <c r="K1777" s="358"/>
      <c r="W1777" s="253"/>
    </row>
    <row r="1778" spans="6:23" ht="20.25" customHeight="1">
      <c r="F1778" s="253" t="s">
        <v>593</v>
      </c>
      <c r="H1778" s="296" t="s">
        <v>930</v>
      </c>
      <c r="W1778" s="253"/>
    </row>
    <row r="1779" spans="6:23" ht="20.25" customHeight="1">
      <c r="H1779" s="358" t="s">
        <v>1586</v>
      </c>
      <c r="W1779" s="253"/>
    </row>
    <row r="1780" spans="6:23" ht="20.25" customHeight="1">
      <c r="F1780" s="316">
        <v>0.48599999999999999</v>
      </c>
      <c r="G1780" s="252" t="s">
        <v>1341</v>
      </c>
      <c r="H1780" s="296" t="s">
        <v>357</v>
      </c>
      <c r="I1780" s="252">
        <f>C61</f>
        <v>112.05</v>
      </c>
      <c r="J1780" s="296" t="s">
        <v>1341</v>
      </c>
      <c r="K1780" s="252">
        <f t="shared" ref="K1780:K1786" si="226">(F1780*I1780)</f>
        <v>54.46</v>
      </c>
      <c r="W1780" s="253"/>
    </row>
    <row r="1781" spans="6:23" ht="20.25" customHeight="1">
      <c r="F1781" s="316">
        <v>0.48599999999999999</v>
      </c>
      <c r="G1781" s="252" t="s">
        <v>1341</v>
      </c>
      <c r="H1781" s="296" t="s">
        <v>358</v>
      </c>
      <c r="I1781" s="252">
        <f>K204</f>
        <v>4941.53</v>
      </c>
      <c r="J1781" s="296" t="s">
        <v>1341</v>
      </c>
      <c r="K1781" s="252">
        <f t="shared" si="226"/>
        <v>2401.58</v>
      </c>
      <c r="W1781" s="253"/>
    </row>
    <row r="1782" spans="6:23" ht="20.25" customHeight="1">
      <c r="F1782" s="252">
        <v>81.75</v>
      </c>
      <c r="G1782" s="252" t="s">
        <v>359</v>
      </c>
      <c r="H1782" s="296" t="s">
        <v>360</v>
      </c>
      <c r="I1782" s="252">
        <f>I745</f>
        <v>53</v>
      </c>
      <c r="J1782" s="296" t="s">
        <v>359</v>
      </c>
      <c r="K1782" s="252">
        <f t="shared" si="226"/>
        <v>4332.75</v>
      </c>
      <c r="W1782" s="253"/>
    </row>
    <row r="1783" spans="6:23" ht="20.25" customHeight="1">
      <c r="F1783" s="252">
        <v>7.2</v>
      </c>
      <c r="G1783" s="252" t="s">
        <v>359</v>
      </c>
      <c r="H1783" s="296" t="s">
        <v>361</v>
      </c>
      <c r="I1783" s="252">
        <f>I745</f>
        <v>53</v>
      </c>
      <c r="J1783" s="296" t="s">
        <v>359</v>
      </c>
      <c r="K1783" s="252">
        <f t="shared" si="226"/>
        <v>381.6</v>
      </c>
      <c r="W1783" s="253"/>
    </row>
    <row r="1784" spans="6:23" ht="20.25" customHeight="1">
      <c r="F1784" s="252">
        <v>43.68</v>
      </c>
      <c r="G1784" s="252" t="s">
        <v>359</v>
      </c>
      <c r="H1784" s="296" t="s">
        <v>1556</v>
      </c>
      <c r="I1784" s="252">
        <f>I743</f>
        <v>53</v>
      </c>
      <c r="J1784" s="296" t="s">
        <v>359</v>
      </c>
      <c r="K1784" s="252">
        <f t="shared" si="226"/>
        <v>2315.04</v>
      </c>
      <c r="W1784" s="253"/>
    </row>
    <row r="1785" spans="6:23" ht="20.25" customHeight="1">
      <c r="F1785" s="252">
        <v>132.63</v>
      </c>
      <c r="G1785" s="252" t="s">
        <v>359</v>
      </c>
      <c r="H1785" s="296" t="s">
        <v>1557</v>
      </c>
      <c r="I1785" s="252">
        <f>C37</f>
        <v>0</v>
      </c>
      <c r="J1785" s="296" t="s">
        <v>359</v>
      </c>
      <c r="K1785" s="252">
        <f t="shared" si="226"/>
        <v>0</v>
      </c>
      <c r="W1785" s="253"/>
    </row>
    <row r="1786" spans="6:23" ht="20.25" customHeight="1">
      <c r="F1786" s="252">
        <v>2.2000000000000002</v>
      </c>
      <c r="G1786" s="252" t="s">
        <v>233</v>
      </c>
      <c r="H1786" s="296" t="s">
        <v>6126</v>
      </c>
      <c r="I1786" s="420">
        <v>970</v>
      </c>
      <c r="J1786" s="296" t="s">
        <v>233</v>
      </c>
      <c r="K1786" s="252">
        <f t="shared" si="226"/>
        <v>2134</v>
      </c>
      <c r="W1786" s="253"/>
    </row>
    <row r="1787" spans="6:23" ht="20.25" customHeight="1">
      <c r="F1787" s="407" t="s">
        <v>657</v>
      </c>
      <c r="H1787" s="296" t="s">
        <v>1558</v>
      </c>
      <c r="I1787" s="407" t="s">
        <v>657</v>
      </c>
      <c r="K1787" s="252">
        <v>250</v>
      </c>
      <c r="W1787" s="253"/>
    </row>
    <row r="1788" spans="6:23" ht="20.25" customHeight="1">
      <c r="F1788" s="407" t="s">
        <v>657</v>
      </c>
      <c r="H1788" s="296" t="s">
        <v>1400</v>
      </c>
      <c r="I1788" s="407" t="s">
        <v>657</v>
      </c>
      <c r="K1788" s="252">
        <v>20.47</v>
      </c>
      <c r="W1788" s="253"/>
    </row>
    <row r="1789" spans="6:23" ht="20.25" customHeight="1">
      <c r="K1789" s="358" t="s">
        <v>1586</v>
      </c>
      <c r="W1789" s="253"/>
    </row>
    <row r="1790" spans="6:23" ht="20.25" customHeight="1">
      <c r="K1790" s="252">
        <f>SUM(K1780:K1789)</f>
        <v>11889.9</v>
      </c>
      <c r="W1790" s="253"/>
    </row>
    <row r="1791" spans="6:23" ht="20.25" customHeight="1">
      <c r="K1791" s="358" t="s">
        <v>1586</v>
      </c>
      <c r="W1791" s="253"/>
    </row>
    <row r="1792" spans="6:23" ht="20.25" customHeight="1">
      <c r="K1792" s="358"/>
      <c r="W1792" s="253"/>
    </row>
    <row r="1793" spans="6:23" ht="20.25" customHeight="1">
      <c r="F1793" s="369">
        <v>86</v>
      </c>
      <c r="H1793" s="296" t="s">
        <v>2059</v>
      </c>
      <c r="K1793" s="314">
        <f>C806</f>
        <v>33.9</v>
      </c>
      <c r="W1793" s="253"/>
    </row>
    <row r="1794" spans="6:23" ht="20.25" customHeight="1">
      <c r="F1794" s="375"/>
      <c r="H1794" s="296"/>
      <c r="W1794" s="253"/>
    </row>
    <row r="1795" spans="6:23" ht="20.25" customHeight="1">
      <c r="F1795" s="253" t="s">
        <v>1651</v>
      </c>
      <c r="H1795" s="296" t="s">
        <v>5321</v>
      </c>
      <c r="K1795" s="373">
        <v>10.050000000000001</v>
      </c>
      <c r="W1795" s="253"/>
    </row>
    <row r="1796" spans="6:23" ht="20.25" customHeight="1">
      <c r="H1796" s="296" t="s">
        <v>2276</v>
      </c>
      <c r="K1796" s="252">
        <f>700*K1795</f>
        <v>7035</v>
      </c>
      <c r="W1796" s="253"/>
    </row>
    <row r="1797" spans="6:23" ht="20.25" customHeight="1">
      <c r="F1797" s="296" t="s">
        <v>975</v>
      </c>
      <c r="H1797" s="296" t="s">
        <v>2728</v>
      </c>
      <c r="K1797" s="252">
        <f>200*K1795</f>
        <v>2010</v>
      </c>
      <c r="L1797" s="252">
        <f>K1795*1000</f>
        <v>10050</v>
      </c>
      <c r="M1797" s="252">
        <f>K1795*1500</f>
        <v>15075</v>
      </c>
      <c r="W1797" s="253"/>
    </row>
    <row r="1798" spans="6:23" ht="20.25" customHeight="1">
      <c r="F1798" s="375"/>
      <c r="G1798" s="252" t="s">
        <v>2251</v>
      </c>
      <c r="H1798" s="296" t="s">
        <v>2047</v>
      </c>
      <c r="W1798" s="253"/>
    </row>
    <row r="1799" spans="6:23" ht="20.25" customHeight="1">
      <c r="H1799" s="296" t="s">
        <v>2277</v>
      </c>
      <c r="W1799" s="253"/>
    </row>
    <row r="1800" spans="6:23" ht="20.25" customHeight="1">
      <c r="H1800" s="296" t="s">
        <v>948</v>
      </c>
      <c r="W1800" s="253"/>
    </row>
    <row r="1801" spans="6:23" ht="20.25" customHeight="1">
      <c r="H1801" s="358" t="s">
        <v>1586</v>
      </c>
      <c r="W1801" s="253"/>
    </row>
    <row r="1802" spans="6:23" ht="20.25" customHeight="1">
      <c r="G1802" s="252" t="s">
        <v>2278</v>
      </c>
      <c r="H1802" s="296" t="s">
        <v>948</v>
      </c>
      <c r="K1802" s="296" t="s">
        <v>1451</v>
      </c>
      <c r="W1802" s="253"/>
    </row>
    <row r="1803" spans="6:23" ht="20.25" customHeight="1">
      <c r="H1803" s="358" t="s">
        <v>1586</v>
      </c>
      <c r="K1803" s="358" t="s">
        <v>2055</v>
      </c>
      <c r="W1803" s="253"/>
    </row>
    <row r="1804" spans="6:23" ht="20.25" customHeight="1">
      <c r="F1804" s="252">
        <v>30</v>
      </c>
      <c r="G1804" s="252" t="s">
        <v>1771</v>
      </c>
      <c r="H1804" s="296" t="s">
        <v>1664</v>
      </c>
      <c r="I1804" s="252">
        <f>(C661)</f>
        <v>11.2</v>
      </c>
      <c r="J1804" s="296" t="s">
        <v>1771</v>
      </c>
      <c r="K1804" s="252">
        <f>(F1804*I1804)</f>
        <v>336</v>
      </c>
      <c r="W1804" s="253"/>
    </row>
    <row r="1805" spans="6:23" ht="20.25" customHeight="1">
      <c r="F1805" s="296" t="s">
        <v>975</v>
      </c>
      <c r="H1805" s="296" t="s">
        <v>1667</v>
      </c>
      <c r="I1805" s="296" t="s">
        <v>975</v>
      </c>
      <c r="K1805" s="296" t="s">
        <v>975</v>
      </c>
      <c r="W1805" s="253"/>
    </row>
    <row r="1806" spans="6:23" ht="20.25" customHeight="1">
      <c r="F1806" s="252">
        <v>8</v>
      </c>
      <c r="G1806" s="252" t="s">
        <v>868</v>
      </c>
      <c r="H1806" s="296" t="s">
        <v>2144</v>
      </c>
      <c r="I1806" s="252">
        <f>(C663)</f>
        <v>8.9</v>
      </c>
      <c r="J1806" s="296" t="s">
        <v>868</v>
      </c>
      <c r="K1806" s="252">
        <f t="shared" ref="K1806:K1812" si="227">(F1806*I1806)</f>
        <v>71.2</v>
      </c>
      <c r="W1806" s="253"/>
    </row>
    <row r="1807" spans="6:23" ht="20.25" customHeight="1">
      <c r="F1807" s="252">
        <v>8</v>
      </c>
      <c r="G1807" s="252" t="s">
        <v>868</v>
      </c>
      <c r="H1807" s="296" t="s">
        <v>467</v>
      </c>
      <c r="I1807" s="252">
        <f>(C672)</f>
        <v>12.65</v>
      </c>
      <c r="J1807" s="296" t="s">
        <v>868</v>
      </c>
      <c r="K1807" s="252">
        <f t="shared" si="227"/>
        <v>101.2</v>
      </c>
      <c r="W1807" s="253"/>
    </row>
    <row r="1808" spans="6:23" ht="20.25" customHeight="1">
      <c r="F1808" s="252">
        <v>3</v>
      </c>
      <c r="G1808" s="252" t="s">
        <v>868</v>
      </c>
      <c r="H1808" s="296" t="s">
        <v>1845</v>
      </c>
      <c r="I1808" s="252">
        <f>(C41)</f>
        <v>738</v>
      </c>
      <c r="J1808" s="296" t="s">
        <v>868</v>
      </c>
      <c r="K1808" s="252">
        <f t="shared" si="227"/>
        <v>2214</v>
      </c>
      <c r="W1808" s="253"/>
    </row>
    <row r="1809" spans="6:23" ht="20.25" customHeight="1">
      <c r="F1809" s="252">
        <v>1</v>
      </c>
      <c r="G1809" s="252" t="s">
        <v>868</v>
      </c>
      <c r="H1809" s="296" t="s">
        <v>1380</v>
      </c>
      <c r="I1809" s="252">
        <f>(C10)</f>
        <v>999</v>
      </c>
      <c r="J1809" s="296" t="s">
        <v>868</v>
      </c>
      <c r="K1809" s="252">
        <f t="shared" si="227"/>
        <v>999</v>
      </c>
      <c r="W1809" s="253"/>
    </row>
    <row r="1810" spans="6:23" ht="20.25" customHeight="1">
      <c r="F1810" s="252">
        <v>2</v>
      </c>
      <c r="G1810" s="252" t="s">
        <v>868</v>
      </c>
      <c r="H1810" s="296" t="s">
        <v>1902</v>
      </c>
      <c r="I1810" s="252">
        <f>(C12)</f>
        <v>651</v>
      </c>
      <c r="J1810" s="296" t="s">
        <v>868</v>
      </c>
      <c r="K1810" s="252">
        <f t="shared" si="227"/>
        <v>1302</v>
      </c>
      <c r="W1810" s="253"/>
    </row>
    <row r="1811" spans="6:23" ht="20.25" customHeight="1">
      <c r="F1811" s="252">
        <v>1</v>
      </c>
      <c r="G1811" s="252" t="s">
        <v>868</v>
      </c>
      <c r="H1811" s="296" t="s">
        <v>320</v>
      </c>
      <c r="I1811" s="252">
        <f>(C13)</f>
        <v>534</v>
      </c>
      <c r="J1811" s="296" t="s">
        <v>868</v>
      </c>
      <c r="K1811" s="252">
        <f t="shared" si="227"/>
        <v>534</v>
      </c>
      <c r="W1811" s="253"/>
    </row>
    <row r="1812" spans="6:23" ht="20.25" customHeight="1">
      <c r="F1812" s="252">
        <v>1</v>
      </c>
      <c r="G1812" s="252" t="s">
        <v>868</v>
      </c>
      <c r="H1812" s="296" t="s">
        <v>1381</v>
      </c>
      <c r="I1812" s="407">
        <v>5</v>
      </c>
      <c r="J1812" s="296" t="s">
        <v>1398</v>
      </c>
      <c r="K1812" s="252">
        <f t="shared" si="227"/>
        <v>5</v>
      </c>
      <c r="W1812" s="253"/>
    </row>
    <row r="1813" spans="6:23" ht="20.25" customHeight="1">
      <c r="H1813" s="296" t="s">
        <v>932</v>
      </c>
      <c r="I1813" s="296" t="s">
        <v>975</v>
      </c>
      <c r="K1813" s="296" t="s">
        <v>975</v>
      </c>
      <c r="W1813" s="253"/>
    </row>
    <row r="1814" spans="6:23" ht="20.25" customHeight="1">
      <c r="G1814" s="252" t="s">
        <v>449</v>
      </c>
      <c r="H1814" s="296" t="s">
        <v>450</v>
      </c>
      <c r="J1814" s="296" t="s">
        <v>449</v>
      </c>
      <c r="K1814" s="252">
        <v>0</v>
      </c>
      <c r="W1814" s="253"/>
    </row>
    <row r="1815" spans="6:23" ht="20.25" customHeight="1">
      <c r="K1815" s="358" t="s">
        <v>1586</v>
      </c>
      <c r="W1815" s="253"/>
    </row>
    <row r="1816" spans="6:23" ht="20.25" customHeight="1">
      <c r="H1816" s="296" t="s">
        <v>1850</v>
      </c>
      <c r="K1816" s="252">
        <f>SUM(K1804:K1814)</f>
        <v>5562.4</v>
      </c>
      <c r="W1816" s="253"/>
    </row>
    <row r="1817" spans="6:23" ht="20.25" customHeight="1">
      <c r="K1817" s="358" t="s">
        <v>1586</v>
      </c>
      <c r="W1817" s="253"/>
    </row>
    <row r="1818" spans="6:23" ht="20.25" customHeight="1">
      <c r="H1818" s="296" t="s">
        <v>1545</v>
      </c>
      <c r="K1818" s="252">
        <f>(K1816/30)</f>
        <v>185.41</v>
      </c>
      <c r="W1818" s="253"/>
    </row>
    <row r="1819" spans="6:23" ht="20.25" customHeight="1">
      <c r="K1819" s="358" t="s">
        <v>1586</v>
      </c>
      <c r="W1819" s="253"/>
    </row>
    <row r="1820" spans="6:23" ht="20.25" customHeight="1">
      <c r="G1820" s="252" t="s">
        <v>520</v>
      </c>
      <c r="H1820" s="296" t="s">
        <v>948</v>
      </c>
      <c r="K1820" s="296" t="s">
        <v>21</v>
      </c>
      <c r="W1820" s="253"/>
    </row>
    <row r="1821" spans="6:23" ht="20.25" customHeight="1">
      <c r="H1821" s="358" t="s">
        <v>1586</v>
      </c>
      <c r="K1821" s="358" t="s">
        <v>2055</v>
      </c>
      <c r="W1821" s="253"/>
    </row>
    <row r="1822" spans="6:23" ht="20.25" customHeight="1">
      <c r="F1822" s="252">
        <v>30</v>
      </c>
      <c r="G1822" s="252" t="s">
        <v>1771</v>
      </c>
      <c r="H1822" s="296" t="s">
        <v>1664</v>
      </c>
      <c r="I1822" s="252">
        <f>(C661)</f>
        <v>11.2</v>
      </c>
      <c r="J1822" s="296" t="s">
        <v>1771</v>
      </c>
      <c r="K1822" s="252">
        <f>(F1822*I1822)</f>
        <v>336</v>
      </c>
      <c r="W1822" s="253"/>
    </row>
    <row r="1823" spans="6:23" ht="20.25" customHeight="1">
      <c r="F1823" s="296" t="s">
        <v>975</v>
      </c>
      <c r="H1823" s="296" t="s">
        <v>1667</v>
      </c>
      <c r="I1823" s="296" t="s">
        <v>975</v>
      </c>
      <c r="K1823" s="296" t="s">
        <v>975</v>
      </c>
      <c r="W1823" s="253"/>
    </row>
    <row r="1824" spans="6:23" ht="20.25" customHeight="1">
      <c r="F1824" s="252">
        <v>8</v>
      </c>
      <c r="G1824" s="252" t="s">
        <v>868</v>
      </c>
      <c r="H1824" s="296" t="s">
        <v>2144</v>
      </c>
      <c r="I1824" s="252">
        <f>(C663)</f>
        <v>8.9</v>
      </c>
      <c r="J1824" s="296" t="s">
        <v>868</v>
      </c>
      <c r="K1824" s="252">
        <f t="shared" ref="K1824:K1830" si="228">(F1824*I1824)</f>
        <v>71.2</v>
      </c>
      <c r="W1824" s="253"/>
    </row>
    <row r="1825" spans="6:23" ht="20.25" customHeight="1">
      <c r="F1825" s="252">
        <v>8</v>
      </c>
      <c r="G1825" s="252" t="s">
        <v>868</v>
      </c>
      <c r="H1825" s="296" t="s">
        <v>467</v>
      </c>
      <c r="I1825" s="252">
        <f>D672</f>
        <v>12.85</v>
      </c>
      <c r="J1825" s="296" t="s">
        <v>868</v>
      </c>
      <c r="K1825" s="252">
        <f t="shared" si="228"/>
        <v>102.8</v>
      </c>
      <c r="W1825" s="253"/>
    </row>
    <row r="1826" spans="6:23" ht="20.25" customHeight="1">
      <c r="F1826" s="252">
        <v>3</v>
      </c>
      <c r="G1826" s="252" t="s">
        <v>868</v>
      </c>
      <c r="H1826" s="296" t="s">
        <v>1845</v>
      </c>
      <c r="I1826" s="252">
        <f>(C41)</f>
        <v>738</v>
      </c>
      <c r="J1826" s="296" t="s">
        <v>868</v>
      </c>
      <c r="K1826" s="252">
        <f t="shared" si="228"/>
        <v>2214</v>
      </c>
      <c r="W1826" s="253"/>
    </row>
    <row r="1827" spans="6:23" ht="20.25" customHeight="1">
      <c r="F1827" s="252">
        <v>1</v>
      </c>
      <c r="G1827" s="252" t="s">
        <v>868</v>
      </c>
      <c r="H1827" s="296" t="s">
        <v>1380</v>
      </c>
      <c r="I1827" s="252">
        <f>(C10)</f>
        <v>999</v>
      </c>
      <c r="J1827" s="296" t="s">
        <v>868</v>
      </c>
      <c r="K1827" s="252">
        <f t="shared" si="228"/>
        <v>999</v>
      </c>
      <c r="W1827" s="253"/>
    </row>
    <row r="1828" spans="6:23" ht="20.25" customHeight="1">
      <c r="F1828" s="252">
        <v>2</v>
      </c>
      <c r="G1828" s="252" t="s">
        <v>868</v>
      </c>
      <c r="H1828" s="296" t="s">
        <v>1902</v>
      </c>
      <c r="I1828" s="252">
        <f>(C12)</f>
        <v>651</v>
      </c>
      <c r="J1828" s="296" t="s">
        <v>868</v>
      </c>
      <c r="K1828" s="252">
        <f t="shared" si="228"/>
        <v>1302</v>
      </c>
      <c r="W1828" s="253"/>
    </row>
    <row r="1829" spans="6:23" ht="20.25" customHeight="1">
      <c r="F1829" s="252">
        <v>1</v>
      </c>
      <c r="G1829" s="252" t="s">
        <v>868</v>
      </c>
      <c r="H1829" s="296" t="s">
        <v>320</v>
      </c>
      <c r="I1829" s="252">
        <f>(C13)</f>
        <v>534</v>
      </c>
      <c r="J1829" s="296" t="s">
        <v>868</v>
      </c>
      <c r="K1829" s="252">
        <f t="shared" si="228"/>
        <v>534</v>
      </c>
      <c r="W1829" s="253"/>
    </row>
    <row r="1830" spans="6:23" ht="20.25" customHeight="1">
      <c r="F1830" s="252">
        <v>1</v>
      </c>
      <c r="G1830" s="252" t="s">
        <v>868</v>
      </c>
      <c r="H1830" s="296" t="s">
        <v>1381</v>
      </c>
      <c r="I1830" s="407">
        <v>3</v>
      </c>
      <c r="J1830" s="296" t="s">
        <v>868</v>
      </c>
      <c r="K1830" s="252">
        <f t="shared" si="228"/>
        <v>3</v>
      </c>
      <c r="W1830" s="253"/>
    </row>
    <row r="1831" spans="6:23" ht="20.25" customHeight="1">
      <c r="H1831" s="296" t="s">
        <v>932</v>
      </c>
      <c r="I1831" s="296" t="s">
        <v>975</v>
      </c>
      <c r="K1831" s="296" t="s">
        <v>975</v>
      </c>
      <c r="W1831" s="253"/>
    </row>
    <row r="1832" spans="6:23" ht="20.25" customHeight="1">
      <c r="G1832" s="252" t="s">
        <v>449</v>
      </c>
      <c r="H1832" s="296" t="s">
        <v>450</v>
      </c>
      <c r="J1832" s="296" t="s">
        <v>449</v>
      </c>
      <c r="K1832" s="252">
        <v>0</v>
      </c>
      <c r="W1832" s="253"/>
    </row>
    <row r="1833" spans="6:23" ht="20.25" customHeight="1">
      <c r="K1833" s="358" t="s">
        <v>1586</v>
      </c>
      <c r="W1833" s="253"/>
    </row>
    <row r="1834" spans="6:23" ht="20.25" customHeight="1">
      <c r="H1834" s="296" t="s">
        <v>1850</v>
      </c>
      <c r="K1834" s="252">
        <f>SUM(K1822:K1832)</f>
        <v>5562</v>
      </c>
      <c r="W1834" s="253"/>
    </row>
    <row r="1835" spans="6:23" ht="20.25" customHeight="1">
      <c r="K1835" s="358" t="s">
        <v>1586</v>
      </c>
      <c r="W1835" s="253"/>
    </row>
    <row r="1836" spans="6:23" ht="20.25" customHeight="1">
      <c r="H1836" s="296" t="s">
        <v>1545</v>
      </c>
      <c r="K1836" s="252">
        <f>(K1834/30)</f>
        <v>185.4</v>
      </c>
      <c r="W1836" s="253"/>
    </row>
    <row r="1837" spans="6:23" ht="20.25" customHeight="1">
      <c r="K1837" s="358" t="s">
        <v>1586</v>
      </c>
      <c r="W1837" s="253"/>
    </row>
    <row r="1838" spans="6:23" ht="20.25" customHeight="1">
      <c r="G1838" s="252" t="s">
        <v>1907</v>
      </c>
      <c r="H1838" s="296" t="s">
        <v>948</v>
      </c>
      <c r="K1838" s="296" t="s">
        <v>22</v>
      </c>
      <c r="W1838" s="253"/>
    </row>
    <row r="1839" spans="6:23" ht="20.25" customHeight="1">
      <c r="H1839" s="358" t="s">
        <v>1586</v>
      </c>
      <c r="K1839" s="358" t="s">
        <v>2055</v>
      </c>
      <c r="W1839" s="253"/>
    </row>
    <row r="1840" spans="6:23" ht="20.25" customHeight="1">
      <c r="F1840" s="252">
        <v>30</v>
      </c>
      <c r="G1840" s="252" t="s">
        <v>1771</v>
      </c>
      <c r="H1840" s="296" t="s">
        <v>1664</v>
      </c>
      <c r="I1840" s="252">
        <f>(C661)</f>
        <v>11.2</v>
      </c>
      <c r="J1840" s="296" t="s">
        <v>1771</v>
      </c>
      <c r="K1840" s="252">
        <f>(F1840*I1840)</f>
        <v>336</v>
      </c>
      <c r="W1840" s="253"/>
    </row>
    <row r="1841" spans="6:23" ht="20.25" customHeight="1">
      <c r="F1841" s="296" t="s">
        <v>975</v>
      </c>
      <c r="H1841" s="296" t="s">
        <v>1667</v>
      </c>
      <c r="I1841" s="296" t="s">
        <v>975</v>
      </c>
      <c r="K1841" s="296" t="s">
        <v>975</v>
      </c>
      <c r="W1841" s="253"/>
    </row>
    <row r="1842" spans="6:23" ht="20.25" customHeight="1">
      <c r="F1842" s="252">
        <v>8</v>
      </c>
      <c r="G1842" s="252" t="s">
        <v>868</v>
      </c>
      <c r="H1842" s="296" t="s">
        <v>2144</v>
      </c>
      <c r="I1842" s="252">
        <f>D663</f>
        <v>10.65</v>
      </c>
      <c r="J1842" s="296" t="s">
        <v>868</v>
      </c>
      <c r="K1842" s="252">
        <f t="shared" ref="K1842:K1848" si="229">(F1842*I1842)</f>
        <v>85.2</v>
      </c>
      <c r="W1842" s="253"/>
    </row>
    <row r="1843" spans="6:23" ht="20.25" customHeight="1">
      <c r="F1843" s="252">
        <v>8</v>
      </c>
      <c r="G1843" s="252" t="s">
        <v>868</v>
      </c>
      <c r="H1843" s="296" t="s">
        <v>467</v>
      </c>
      <c r="I1843" s="252">
        <f>C677</f>
        <v>26.6</v>
      </c>
      <c r="J1843" s="296" t="s">
        <v>868</v>
      </c>
      <c r="K1843" s="252">
        <f t="shared" si="229"/>
        <v>212.8</v>
      </c>
      <c r="W1843" s="253"/>
    </row>
    <row r="1844" spans="6:23" ht="20.25" customHeight="1">
      <c r="F1844" s="252">
        <v>3</v>
      </c>
      <c r="G1844" s="252" t="s">
        <v>868</v>
      </c>
      <c r="H1844" s="296" t="s">
        <v>1845</v>
      </c>
      <c r="I1844" s="252">
        <f>(C41)</f>
        <v>738</v>
      </c>
      <c r="J1844" s="296" t="s">
        <v>868</v>
      </c>
      <c r="K1844" s="252">
        <f t="shared" si="229"/>
        <v>2214</v>
      </c>
      <c r="W1844" s="253"/>
    </row>
    <row r="1845" spans="6:23" ht="20.25" customHeight="1">
      <c r="F1845" s="252">
        <v>1</v>
      </c>
      <c r="G1845" s="252" t="s">
        <v>868</v>
      </c>
      <c r="H1845" s="296" t="s">
        <v>1380</v>
      </c>
      <c r="I1845" s="252">
        <f>(C10)</f>
        <v>999</v>
      </c>
      <c r="J1845" s="296" t="s">
        <v>868</v>
      </c>
      <c r="K1845" s="252">
        <f t="shared" si="229"/>
        <v>999</v>
      </c>
      <c r="W1845" s="253"/>
    </row>
    <row r="1846" spans="6:23" ht="20.25" customHeight="1">
      <c r="F1846" s="252">
        <v>2</v>
      </c>
      <c r="G1846" s="252" t="s">
        <v>868</v>
      </c>
      <c r="H1846" s="296" t="s">
        <v>1902</v>
      </c>
      <c r="I1846" s="252">
        <f>(C12)</f>
        <v>651</v>
      </c>
      <c r="J1846" s="296" t="s">
        <v>868</v>
      </c>
      <c r="K1846" s="252">
        <f t="shared" si="229"/>
        <v>1302</v>
      </c>
      <c r="W1846" s="253"/>
    </row>
    <row r="1847" spans="6:23" ht="20.25" customHeight="1">
      <c r="F1847" s="252">
        <v>1</v>
      </c>
      <c r="G1847" s="252" t="s">
        <v>868</v>
      </c>
      <c r="H1847" s="296" t="s">
        <v>320</v>
      </c>
      <c r="I1847" s="252">
        <f>(C13)</f>
        <v>534</v>
      </c>
      <c r="J1847" s="296" t="s">
        <v>868</v>
      </c>
      <c r="K1847" s="252">
        <f t="shared" si="229"/>
        <v>534</v>
      </c>
      <c r="W1847" s="253"/>
    </row>
    <row r="1848" spans="6:23" ht="20.25" customHeight="1">
      <c r="F1848" s="252">
        <v>1</v>
      </c>
      <c r="G1848" s="252" t="s">
        <v>868</v>
      </c>
      <c r="H1848" s="296" t="s">
        <v>1381</v>
      </c>
      <c r="I1848" s="407">
        <v>5.26</v>
      </c>
      <c r="J1848" s="296" t="s">
        <v>868</v>
      </c>
      <c r="K1848" s="252">
        <f t="shared" si="229"/>
        <v>5.26</v>
      </c>
      <c r="W1848" s="253"/>
    </row>
    <row r="1849" spans="6:23" ht="20.25" customHeight="1">
      <c r="H1849" s="296" t="s">
        <v>932</v>
      </c>
      <c r="I1849" s="296" t="s">
        <v>975</v>
      </c>
      <c r="K1849" s="296" t="s">
        <v>975</v>
      </c>
      <c r="W1849" s="253"/>
    </row>
    <row r="1850" spans="6:23" ht="20.25" customHeight="1">
      <c r="G1850" s="252" t="s">
        <v>449</v>
      </c>
      <c r="H1850" s="296" t="s">
        <v>450</v>
      </c>
      <c r="J1850" s="296" t="s">
        <v>449</v>
      </c>
      <c r="K1850" s="252">
        <v>0</v>
      </c>
      <c r="W1850" s="253"/>
    </row>
    <row r="1851" spans="6:23" ht="20.25" customHeight="1">
      <c r="K1851" s="358" t="s">
        <v>1586</v>
      </c>
      <c r="W1851" s="253"/>
    </row>
    <row r="1852" spans="6:23" ht="20.25" customHeight="1">
      <c r="H1852" s="296" t="s">
        <v>1850</v>
      </c>
      <c r="K1852" s="252">
        <f>SUM(K1840:K1850)</f>
        <v>5688.26</v>
      </c>
      <c r="W1852" s="253"/>
    </row>
    <row r="1853" spans="6:23" ht="20.25" customHeight="1">
      <c r="K1853" s="358" t="s">
        <v>1586</v>
      </c>
      <c r="W1853" s="253"/>
    </row>
    <row r="1854" spans="6:23" ht="20.25" customHeight="1">
      <c r="H1854" s="296" t="s">
        <v>1545</v>
      </c>
      <c r="K1854" s="252">
        <f>(K1852/30)</f>
        <v>189.61</v>
      </c>
      <c r="N1854" s="252" t="s">
        <v>1907</v>
      </c>
      <c r="O1854" s="296" t="s">
        <v>948</v>
      </c>
      <c r="Q1854" s="296"/>
      <c r="R1854" s="296" t="s">
        <v>1724</v>
      </c>
      <c r="W1854" s="253"/>
    </row>
    <row r="1855" spans="6:23" ht="20.25" customHeight="1">
      <c r="K1855" s="358" t="s">
        <v>1586</v>
      </c>
      <c r="O1855" s="358" t="s">
        <v>1586</v>
      </c>
      <c r="Q1855" s="296"/>
      <c r="R1855" s="358" t="s">
        <v>2055</v>
      </c>
      <c r="W1855" s="253"/>
    </row>
    <row r="1856" spans="6:23" ht="20.25" customHeight="1">
      <c r="M1856" s="252">
        <v>30</v>
      </c>
      <c r="N1856" s="252" t="s">
        <v>1771</v>
      </c>
      <c r="O1856" s="296" t="s">
        <v>1664</v>
      </c>
      <c r="P1856" s="252">
        <f>I1840</f>
        <v>11.2</v>
      </c>
      <c r="Q1856" s="296" t="s">
        <v>1771</v>
      </c>
      <c r="R1856" s="252">
        <f>(M1856*P1856)</f>
        <v>336</v>
      </c>
      <c r="W1856" s="253"/>
    </row>
    <row r="1857" spans="6:23" ht="20.25" customHeight="1">
      <c r="F1857" s="369">
        <v>52</v>
      </c>
      <c r="G1857" s="252" t="s">
        <v>2251</v>
      </c>
      <c r="H1857" s="296" t="s">
        <v>99</v>
      </c>
      <c r="M1857" s="296" t="s">
        <v>975</v>
      </c>
      <c r="O1857" s="296" t="s">
        <v>1667</v>
      </c>
      <c r="P1857" s="252" t="str">
        <f t="shared" ref="P1857:P1866" si="230">I1841</f>
        <v xml:space="preserve"> </v>
      </c>
      <c r="Q1857" s="296"/>
      <c r="R1857" s="296" t="s">
        <v>975</v>
      </c>
      <c r="W1857" s="253"/>
    </row>
    <row r="1858" spans="6:23" ht="20.25" customHeight="1">
      <c r="H1858" s="296" t="s">
        <v>2169</v>
      </c>
      <c r="M1858" s="252">
        <v>8</v>
      </c>
      <c r="N1858" s="252" t="s">
        <v>868</v>
      </c>
      <c r="O1858" s="393" t="s">
        <v>5869</v>
      </c>
      <c r="P1858" s="252">
        <f>C46</f>
        <v>13.55</v>
      </c>
      <c r="Q1858" s="296" t="s">
        <v>868</v>
      </c>
      <c r="R1858" s="252">
        <f t="shared" ref="R1858:R1863" si="231">(M1858*P1858)</f>
        <v>108.4</v>
      </c>
      <c r="W1858" s="253"/>
    </row>
    <row r="1859" spans="6:23" ht="20.25" customHeight="1">
      <c r="H1859" s="296" t="s">
        <v>2170</v>
      </c>
      <c r="M1859" s="252">
        <v>8</v>
      </c>
      <c r="N1859" s="252" t="s">
        <v>868</v>
      </c>
      <c r="O1859" s="393" t="s">
        <v>5870</v>
      </c>
      <c r="P1859" s="252">
        <f>C53</f>
        <v>37.85</v>
      </c>
      <c r="Q1859" s="296" t="s">
        <v>868</v>
      </c>
      <c r="R1859" s="252">
        <f t="shared" si="231"/>
        <v>302.8</v>
      </c>
      <c r="W1859" s="253"/>
    </row>
    <row r="1860" spans="6:23" ht="20.25" customHeight="1">
      <c r="H1860" s="296" t="s">
        <v>1406</v>
      </c>
      <c r="M1860" s="252">
        <v>3</v>
      </c>
      <c r="N1860" s="252" t="s">
        <v>868</v>
      </c>
      <c r="O1860" s="296" t="s">
        <v>1845</v>
      </c>
      <c r="P1860" s="252">
        <f t="shared" si="230"/>
        <v>738</v>
      </c>
      <c r="Q1860" s="296" t="s">
        <v>868</v>
      </c>
      <c r="R1860" s="252">
        <f t="shared" si="231"/>
        <v>2214</v>
      </c>
      <c r="W1860" s="253"/>
    </row>
    <row r="1861" spans="6:23" ht="20.25" customHeight="1">
      <c r="H1861" s="296" t="s">
        <v>1407</v>
      </c>
      <c r="M1861" s="252">
        <v>1</v>
      </c>
      <c r="N1861" s="252" t="s">
        <v>868</v>
      </c>
      <c r="O1861" s="296" t="s">
        <v>1380</v>
      </c>
      <c r="P1861" s="252">
        <f t="shared" si="230"/>
        <v>999</v>
      </c>
      <c r="Q1861" s="296" t="s">
        <v>868</v>
      </c>
      <c r="R1861" s="252">
        <f t="shared" si="231"/>
        <v>999</v>
      </c>
      <c r="W1861" s="253"/>
    </row>
    <row r="1862" spans="6:23" ht="20.25" customHeight="1">
      <c r="H1862" s="296" t="s">
        <v>1351</v>
      </c>
      <c r="M1862" s="252">
        <v>2</v>
      </c>
      <c r="N1862" s="252" t="s">
        <v>868</v>
      </c>
      <c r="O1862" s="296" t="s">
        <v>1902</v>
      </c>
      <c r="P1862" s="252">
        <f t="shared" si="230"/>
        <v>651</v>
      </c>
      <c r="Q1862" s="296" t="s">
        <v>868</v>
      </c>
      <c r="R1862" s="252">
        <f t="shared" si="231"/>
        <v>1302</v>
      </c>
      <c r="W1862" s="253"/>
    </row>
    <row r="1863" spans="6:23" ht="20.25" customHeight="1">
      <c r="H1863" s="296" t="s">
        <v>1352</v>
      </c>
      <c r="M1863" s="252">
        <v>1</v>
      </c>
      <c r="N1863" s="252" t="s">
        <v>868</v>
      </c>
      <c r="O1863" s="296" t="s">
        <v>320</v>
      </c>
      <c r="P1863" s="252">
        <f t="shared" si="230"/>
        <v>534</v>
      </c>
      <c r="Q1863" s="296" t="s">
        <v>868</v>
      </c>
      <c r="R1863" s="252">
        <f t="shared" si="231"/>
        <v>534</v>
      </c>
      <c r="W1863" s="253"/>
    </row>
    <row r="1864" spans="6:23" ht="20.25" customHeight="1">
      <c r="H1864" s="296" t="s">
        <v>710</v>
      </c>
      <c r="N1864" s="252" t="s">
        <v>449</v>
      </c>
      <c r="O1864" s="296" t="s">
        <v>1381</v>
      </c>
      <c r="P1864" s="252">
        <f t="shared" si="230"/>
        <v>5.26</v>
      </c>
      <c r="Q1864" s="296" t="s">
        <v>449</v>
      </c>
      <c r="R1864" s="252">
        <v>5</v>
      </c>
      <c r="W1864" s="253"/>
    </row>
    <row r="1865" spans="6:23" ht="20.25" customHeight="1">
      <c r="H1865" s="358" t="s">
        <v>2055</v>
      </c>
      <c r="I1865" s="358" t="s">
        <v>2055</v>
      </c>
      <c r="O1865" s="296" t="s">
        <v>932</v>
      </c>
      <c r="P1865" s="252" t="str">
        <f t="shared" si="230"/>
        <v xml:space="preserve"> </v>
      </c>
      <c r="Q1865" s="296"/>
      <c r="R1865" s="296" t="s">
        <v>975</v>
      </c>
      <c r="W1865" s="253"/>
    </row>
    <row r="1866" spans="6:23" ht="20.25" customHeight="1">
      <c r="G1866" s="252" t="s">
        <v>2251</v>
      </c>
      <c r="H1866" s="296" t="s">
        <v>918</v>
      </c>
      <c r="N1866" s="252" t="s">
        <v>449</v>
      </c>
      <c r="O1866" s="296" t="s">
        <v>450</v>
      </c>
      <c r="P1866" s="252">
        <f t="shared" si="230"/>
        <v>0</v>
      </c>
      <c r="Q1866" s="296" t="s">
        <v>449</v>
      </c>
      <c r="R1866" s="252">
        <v>0</v>
      </c>
      <c r="W1866" s="253"/>
    </row>
    <row r="1867" spans="6:23" ht="20.25" customHeight="1">
      <c r="H1867" s="296" t="s">
        <v>806</v>
      </c>
      <c r="Q1867" s="296"/>
      <c r="R1867" s="358" t="s">
        <v>1586</v>
      </c>
      <c r="W1867" s="253"/>
    </row>
    <row r="1868" spans="6:23" ht="20.25" customHeight="1">
      <c r="G1868" s="252" t="s">
        <v>316</v>
      </c>
      <c r="H1868" s="296" t="s">
        <v>807</v>
      </c>
      <c r="O1868" s="296" t="s">
        <v>1850</v>
      </c>
      <c r="Q1868" s="296"/>
      <c r="R1868" s="252">
        <f>SUM(R1856:R1866)</f>
        <v>5801.2</v>
      </c>
      <c r="W1868" s="253"/>
    </row>
    <row r="1869" spans="6:23" ht="20.25" customHeight="1">
      <c r="H1869" s="358" t="s">
        <v>1586</v>
      </c>
      <c r="Q1869" s="296"/>
      <c r="R1869" s="358" t="s">
        <v>1586</v>
      </c>
      <c r="W1869" s="253"/>
    </row>
    <row r="1870" spans="6:23" ht="20.25"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0.25" customHeight="1">
      <c r="F1871" s="252">
        <v>1</v>
      </c>
      <c r="G1871" s="252" t="s">
        <v>449</v>
      </c>
      <c r="H1871" s="296" t="s">
        <v>1801</v>
      </c>
      <c r="I1871" s="252">
        <f>I1870*0.7</f>
        <v>18.2</v>
      </c>
      <c r="J1871" s="296" t="s">
        <v>449</v>
      </c>
      <c r="K1871" s="252">
        <f>(F1871*I1871)</f>
        <v>18.2</v>
      </c>
      <c r="Q1871" s="296"/>
      <c r="R1871" s="358" t="s">
        <v>1586</v>
      </c>
      <c r="W1871" s="253"/>
    </row>
    <row r="1872" spans="6:23" ht="20.25" customHeight="1">
      <c r="F1872" s="252">
        <v>1</v>
      </c>
      <c r="G1872" s="252" t="s">
        <v>826</v>
      </c>
      <c r="H1872" s="296" t="s">
        <v>161</v>
      </c>
      <c r="I1872" s="252">
        <f>K1818</f>
        <v>185.41</v>
      </c>
      <c r="J1872" s="296" t="s">
        <v>826</v>
      </c>
      <c r="K1872" s="252">
        <f>(F1872*I1872)</f>
        <v>185.41</v>
      </c>
      <c r="W1872" s="253"/>
    </row>
    <row r="1873" spans="6:23" ht="20.25" customHeight="1">
      <c r="I1873" s="296" t="s">
        <v>975</v>
      </c>
      <c r="K1873" s="358" t="s">
        <v>1586</v>
      </c>
      <c r="W1873" s="253"/>
    </row>
    <row r="1874" spans="6:23" ht="20.25" customHeight="1">
      <c r="H1874" s="296" t="s">
        <v>377</v>
      </c>
      <c r="K1874" s="274">
        <f>SUM(K1870:K1872)</f>
        <v>229.61</v>
      </c>
      <c r="W1874" s="253"/>
    </row>
    <row r="1875" spans="6:23" ht="20.25" customHeight="1">
      <c r="H1875" s="296" t="s">
        <v>975</v>
      </c>
      <c r="I1875" s="296" t="s">
        <v>975</v>
      </c>
      <c r="K1875" s="358" t="s">
        <v>2055</v>
      </c>
      <c r="N1875" s="252" t="s">
        <v>1907</v>
      </c>
      <c r="O1875" s="296" t="s">
        <v>5322</v>
      </c>
      <c r="Q1875" s="296"/>
      <c r="W1875" s="253"/>
    </row>
    <row r="1876" spans="6:23" ht="20.25" customHeight="1">
      <c r="G1876" s="252" t="s">
        <v>520</v>
      </c>
      <c r="H1876" s="296" t="s">
        <v>742</v>
      </c>
      <c r="O1876" s="358" t="s">
        <v>1586</v>
      </c>
      <c r="Q1876" s="296"/>
      <c r="W1876" s="253"/>
    </row>
    <row r="1877" spans="6:23" ht="20.25" customHeight="1">
      <c r="H1877" s="358" t="s">
        <v>1586</v>
      </c>
      <c r="M1877" s="252">
        <v>1</v>
      </c>
      <c r="N1877" s="252" t="s">
        <v>826</v>
      </c>
      <c r="O1877" s="296" t="s">
        <v>2894</v>
      </c>
      <c r="P1877" s="362">
        <v>133.69999999999999</v>
      </c>
      <c r="Q1877" s="296" t="s">
        <v>826</v>
      </c>
      <c r="R1877" s="252">
        <f>(M1877*P1877)</f>
        <v>133.69999999999999</v>
      </c>
      <c r="W1877" s="253"/>
    </row>
    <row r="1878" spans="6:23" ht="20.25"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0.25"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0.25"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0.25" customHeight="1">
      <c r="I1881" s="296" t="s">
        <v>975</v>
      </c>
      <c r="K1881" s="358" t="s">
        <v>1586</v>
      </c>
      <c r="O1881" s="296" t="s">
        <v>377</v>
      </c>
      <c r="Q1881" s="296"/>
      <c r="R1881" s="274">
        <f>SUM(R1877:R1879)</f>
        <v>353.81</v>
      </c>
      <c r="W1881" s="253"/>
    </row>
    <row r="1882" spans="6:23" ht="20.25" customHeight="1">
      <c r="H1882" s="296" t="s">
        <v>377</v>
      </c>
      <c r="K1882" s="274">
        <f>SUM(K1878:K1880)</f>
        <v>234.4</v>
      </c>
      <c r="P1882" s="296" t="s">
        <v>975</v>
      </c>
      <c r="Q1882" s="296"/>
      <c r="R1882" s="358" t="s">
        <v>2055</v>
      </c>
      <c r="W1882" s="253"/>
    </row>
    <row r="1883" spans="6:23" ht="20.25" customHeight="1">
      <c r="I1883" s="296" t="s">
        <v>975</v>
      </c>
      <c r="K1883" s="358" t="s">
        <v>2055</v>
      </c>
      <c r="W1883" s="253"/>
    </row>
    <row r="1884" spans="6:23" ht="20.25" customHeight="1">
      <c r="G1884" s="252" t="s">
        <v>1907</v>
      </c>
      <c r="H1884" s="296" t="s">
        <v>375</v>
      </c>
      <c r="W1884" s="253"/>
    </row>
    <row r="1885" spans="6:23" ht="20.25" customHeight="1">
      <c r="H1885" s="358" t="s">
        <v>1586</v>
      </c>
      <c r="N1885" s="252" t="s">
        <v>1907</v>
      </c>
      <c r="O1885" s="296" t="s">
        <v>948</v>
      </c>
      <c r="Q1885" s="296"/>
      <c r="R1885" s="296" t="s">
        <v>3593</v>
      </c>
      <c r="W1885" s="253"/>
    </row>
    <row r="1886" spans="6:23" ht="20.25" customHeight="1">
      <c r="F1886" s="252">
        <v>1</v>
      </c>
      <c r="G1886" s="252" t="s">
        <v>826</v>
      </c>
      <c r="H1886" s="296" t="s">
        <v>1671</v>
      </c>
      <c r="I1886" s="252">
        <v>52</v>
      </c>
      <c r="J1886" s="296" t="s">
        <v>826</v>
      </c>
      <c r="K1886" s="252">
        <f>(F1886*I1886)</f>
        <v>52</v>
      </c>
      <c r="O1886" s="358" t="s">
        <v>1586</v>
      </c>
      <c r="Q1886" s="296"/>
      <c r="R1886" s="358" t="s">
        <v>2055</v>
      </c>
      <c r="W1886" s="253"/>
    </row>
    <row r="1887" spans="6:23" ht="20.25" customHeight="1">
      <c r="F1887" s="252">
        <v>1</v>
      </c>
      <c r="G1887" s="252" t="s">
        <v>449</v>
      </c>
      <c r="H1887" s="296" t="s">
        <v>1672</v>
      </c>
      <c r="I1887" s="252">
        <f>I1886*0.2</f>
        <v>10.4</v>
      </c>
      <c r="J1887" s="296" t="s">
        <v>449</v>
      </c>
      <c r="K1887" s="252">
        <f>(F1887*I1887)</f>
        <v>10.4</v>
      </c>
      <c r="M1887" s="252">
        <v>30</v>
      </c>
      <c r="N1887" s="252" t="s">
        <v>1771</v>
      </c>
      <c r="O1887" s="296" t="s">
        <v>5323</v>
      </c>
      <c r="P1887" s="497">
        <f>18.9*10/100+18.9</f>
        <v>20.79</v>
      </c>
      <c r="Q1887" s="296" t="s">
        <v>1771</v>
      </c>
      <c r="R1887" s="252">
        <f>(M1887*P1887)</f>
        <v>623.70000000000005</v>
      </c>
      <c r="W1887" s="253"/>
    </row>
    <row r="1888" spans="6:23" ht="20.25" customHeight="1">
      <c r="F1888" s="252">
        <v>1</v>
      </c>
      <c r="G1888" s="252" t="s">
        <v>826</v>
      </c>
      <c r="H1888" s="296" t="s">
        <v>161</v>
      </c>
      <c r="I1888" s="252">
        <f>K1854</f>
        <v>189.61</v>
      </c>
      <c r="J1888" s="296" t="s">
        <v>826</v>
      </c>
      <c r="K1888" s="252">
        <f>(F1888*I1888)</f>
        <v>189.61</v>
      </c>
      <c r="M1888" s="296" t="s">
        <v>975</v>
      </c>
      <c r="O1888" s="498" t="s">
        <v>6006</v>
      </c>
      <c r="P1888" s="252" t="str">
        <f t="shared" ref="P1888:P1896" si="232">P1857</f>
        <v xml:space="preserve"> </v>
      </c>
      <c r="Q1888" s="296"/>
      <c r="R1888" s="296" t="s">
        <v>975</v>
      </c>
      <c r="W1888" s="253"/>
    </row>
    <row r="1889" spans="6:23" ht="20.25" customHeight="1">
      <c r="I1889" s="296" t="s">
        <v>975</v>
      </c>
      <c r="K1889" s="358" t="s">
        <v>1586</v>
      </c>
      <c r="M1889" s="252">
        <v>8</v>
      </c>
      <c r="N1889" s="252" t="s">
        <v>868</v>
      </c>
      <c r="O1889" s="296" t="s">
        <v>5324</v>
      </c>
      <c r="P1889" s="252">
        <f>C47*10/100+17.35</f>
        <v>19.18</v>
      </c>
      <c r="Q1889" s="296" t="s">
        <v>868</v>
      </c>
      <c r="R1889" s="252">
        <f t="shared" ref="R1889:R1894" si="233">(M1889*P1889)</f>
        <v>153.44</v>
      </c>
      <c r="W1889" s="253"/>
    </row>
    <row r="1890" spans="6:23" ht="20.25" customHeight="1">
      <c r="H1890" s="296" t="s">
        <v>377</v>
      </c>
      <c r="K1890" s="274">
        <f>SUM(K1886:K1888)</f>
        <v>252.01</v>
      </c>
      <c r="M1890" s="252">
        <v>8</v>
      </c>
      <c r="N1890" s="252" t="s">
        <v>868</v>
      </c>
      <c r="O1890" s="296" t="s">
        <v>5325</v>
      </c>
      <c r="P1890" s="252">
        <f>C48*10/100+40.45</f>
        <v>42.8</v>
      </c>
      <c r="Q1890" s="296" t="s">
        <v>868</v>
      </c>
      <c r="R1890" s="252">
        <f t="shared" si="233"/>
        <v>342.4</v>
      </c>
      <c r="W1890" s="253"/>
    </row>
    <row r="1891" spans="6:23" ht="20.2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0.25" customHeight="1">
      <c r="I1892" s="296"/>
      <c r="K1892" s="358"/>
      <c r="M1892" s="252">
        <v>1</v>
      </c>
      <c r="N1892" s="252" t="s">
        <v>868</v>
      </c>
      <c r="O1892" s="296" t="s">
        <v>1380</v>
      </c>
      <c r="P1892" s="252">
        <f t="shared" si="232"/>
        <v>999</v>
      </c>
      <c r="Q1892" s="296" t="s">
        <v>868</v>
      </c>
      <c r="R1892" s="252">
        <f t="shared" si="233"/>
        <v>999</v>
      </c>
      <c r="W1892" s="253"/>
    </row>
    <row r="1893" spans="6:23" ht="20.25"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0.25" customHeight="1">
      <c r="H1894" s="358" t="s">
        <v>1586</v>
      </c>
      <c r="M1894" s="252">
        <v>1</v>
      </c>
      <c r="N1894" s="252" t="s">
        <v>868</v>
      </c>
      <c r="O1894" s="296" t="s">
        <v>320</v>
      </c>
      <c r="P1894" s="252">
        <f t="shared" si="232"/>
        <v>534</v>
      </c>
      <c r="Q1894" s="296" t="s">
        <v>868</v>
      </c>
      <c r="R1894" s="252">
        <f t="shared" si="233"/>
        <v>534</v>
      </c>
      <c r="W1894" s="253"/>
    </row>
    <row r="1895" spans="6:23" ht="20.25"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0.25" customHeight="1">
      <c r="F1896" s="252">
        <v>1</v>
      </c>
      <c r="G1896" s="252" t="s">
        <v>449</v>
      </c>
      <c r="H1896" s="296" t="s">
        <v>1672</v>
      </c>
      <c r="I1896" s="252">
        <f>I1895*0.2</f>
        <v>16.399999999999999</v>
      </c>
      <c r="J1896" s="296" t="s">
        <v>449</v>
      </c>
      <c r="K1896" s="252">
        <f>(F1896*I1896)</f>
        <v>16.399999999999999</v>
      </c>
      <c r="O1896" s="296" t="s">
        <v>932</v>
      </c>
      <c r="P1896" s="252" t="str">
        <f t="shared" si="232"/>
        <v xml:space="preserve"> </v>
      </c>
      <c r="Q1896" s="296"/>
      <c r="R1896" s="296" t="s">
        <v>975</v>
      </c>
      <c r="W1896" s="253"/>
    </row>
    <row r="1897" spans="6:23" ht="20.25" customHeight="1">
      <c r="F1897" s="252">
        <v>1</v>
      </c>
      <c r="G1897" s="252" t="s">
        <v>826</v>
      </c>
      <c r="H1897" s="296" t="s">
        <v>161</v>
      </c>
      <c r="I1897" s="252">
        <f>I1888</f>
        <v>189.61</v>
      </c>
      <c r="J1897" s="296" t="s">
        <v>826</v>
      </c>
      <c r="K1897" s="252">
        <f>(F1897*I1897)</f>
        <v>189.61</v>
      </c>
      <c r="N1897" s="252" t="s">
        <v>449</v>
      </c>
      <c r="O1897" s="296" t="s">
        <v>450</v>
      </c>
      <c r="P1897" s="252" t="str">
        <f>I1881</f>
        <v xml:space="preserve"> </v>
      </c>
      <c r="Q1897" s="296" t="s">
        <v>449</v>
      </c>
      <c r="R1897" s="252">
        <v>0</v>
      </c>
      <c r="W1897" s="253"/>
    </row>
    <row r="1898" spans="6:23" ht="20.25" customHeight="1">
      <c r="I1898" s="296" t="s">
        <v>975</v>
      </c>
      <c r="K1898" s="358" t="s">
        <v>1586</v>
      </c>
      <c r="Q1898" s="296"/>
      <c r="R1898" s="358" t="s">
        <v>1586</v>
      </c>
      <c r="W1898" s="253"/>
    </row>
    <row r="1899" spans="6:23" ht="20.25" customHeight="1">
      <c r="H1899" s="296" t="s">
        <v>377</v>
      </c>
      <c r="K1899" s="274">
        <f>SUM(K1895:K1897)</f>
        <v>288.01</v>
      </c>
      <c r="O1899" s="296" t="s">
        <v>1850</v>
      </c>
      <c r="Q1899" s="296"/>
      <c r="R1899" s="252">
        <f>SUM(R1887:R1897)</f>
        <v>6173.8</v>
      </c>
      <c r="W1899" s="253"/>
    </row>
    <row r="1900" spans="6:23" ht="20.25" customHeight="1">
      <c r="I1900" s="296" t="s">
        <v>975</v>
      </c>
      <c r="K1900" s="358" t="s">
        <v>2055</v>
      </c>
      <c r="Q1900" s="296"/>
      <c r="R1900" s="358" t="s">
        <v>1586</v>
      </c>
      <c r="W1900" s="253"/>
    </row>
    <row r="1901" spans="6:23" ht="20.25" customHeight="1">
      <c r="I1901" s="296"/>
      <c r="K1901" s="358"/>
      <c r="O1901" s="296" t="s">
        <v>1545</v>
      </c>
      <c r="Q1901" s="296"/>
      <c r="R1901" s="252">
        <f>(R1899/30)</f>
        <v>205.79</v>
      </c>
      <c r="W1901" s="253"/>
    </row>
    <row r="1902" spans="6:23" ht="20.25" customHeight="1">
      <c r="F1902" s="499">
        <v>52.1</v>
      </c>
      <c r="H1902" s="268" t="s">
        <v>2201</v>
      </c>
      <c r="I1902" s="296"/>
      <c r="K1902" s="358"/>
      <c r="Q1902" s="296"/>
      <c r="R1902" s="358" t="s">
        <v>1586</v>
      </c>
      <c r="W1902" s="253"/>
    </row>
    <row r="1903" spans="6:23" ht="20.25" customHeight="1">
      <c r="I1903" s="296"/>
      <c r="K1903" s="358"/>
      <c r="W1903" s="253"/>
    </row>
    <row r="1904" spans="6:23" ht="20.25" customHeight="1">
      <c r="F1904" s="253"/>
      <c r="H1904" s="296" t="s">
        <v>2047</v>
      </c>
      <c r="I1904" s="296"/>
      <c r="K1904" s="358"/>
      <c r="W1904" s="253"/>
    </row>
    <row r="1905" spans="6:23" ht="20.25" customHeight="1">
      <c r="H1905" s="296" t="s">
        <v>2202</v>
      </c>
      <c r="I1905" s="296"/>
      <c r="K1905" s="358"/>
      <c r="W1905" s="253"/>
    </row>
    <row r="1906" spans="6:23" ht="20.25" customHeight="1">
      <c r="H1906" s="358" t="s">
        <v>1586</v>
      </c>
      <c r="I1906" s="296"/>
      <c r="K1906" s="358"/>
      <c r="N1906" s="252" t="s">
        <v>1907</v>
      </c>
      <c r="O1906" s="296" t="s">
        <v>3590</v>
      </c>
      <c r="Q1906" s="296"/>
      <c r="W1906" s="253"/>
    </row>
    <row r="1907" spans="6:23" ht="20.25" customHeight="1">
      <c r="F1907" s="252">
        <v>30</v>
      </c>
      <c r="G1907" s="252" t="s">
        <v>1771</v>
      </c>
      <c r="H1907" s="296" t="s">
        <v>147</v>
      </c>
      <c r="I1907" s="407">
        <f>E661</f>
        <v>17.3</v>
      </c>
      <c r="J1907" s="296" t="s">
        <v>1771</v>
      </c>
      <c r="K1907" s="252">
        <f>(F1907*I1907)</f>
        <v>519</v>
      </c>
      <c r="O1907" s="358" t="s">
        <v>1586</v>
      </c>
      <c r="Q1907" s="296"/>
      <c r="W1907" s="253"/>
    </row>
    <row r="1908" spans="6:23" ht="20.25"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0.25"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0.25"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0.25"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0.25"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0.25"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0.25" customHeight="1">
      <c r="K1914" s="358" t="s">
        <v>1586</v>
      </c>
      <c r="W1914" s="253"/>
    </row>
    <row r="1915" spans="6:23" ht="20.25" customHeight="1">
      <c r="H1915" s="296" t="s">
        <v>1850</v>
      </c>
      <c r="K1915" s="252">
        <f>SUM(K1907:K1913)</f>
        <v>5742</v>
      </c>
      <c r="W1915" s="253"/>
    </row>
    <row r="1916" spans="6:23" ht="20.25" customHeight="1">
      <c r="K1916" s="358" t="s">
        <v>1586</v>
      </c>
      <c r="W1916" s="253"/>
    </row>
    <row r="1917" spans="6:23" ht="20.25" customHeight="1">
      <c r="H1917" s="296" t="s">
        <v>1545</v>
      </c>
      <c r="K1917" s="252">
        <f>(K1915/30)</f>
        <v>191.4</v>
      </c>
      <c r="W1917" s="253"/>
    </row>
    <row r="1918" spans="6:23" ht="20.25" customHeight="1">
      <c r="K1918" s="358" t="s">
        <v>1586</v>
      </c>
      <c r="W1918" s="253"/>
    </row>
    <row r="1919" spans="6:23" ht="20.25" customHeight="1">
      <c r="I1919" s="296"/>
      <c r="K1919" s="358"/>
      <c r="W1919" s="253"/>
    </row>
    <row r="1920" spans="6:23" ht="20.25" customHeight="1">
      <c r="H1920" s="252" t="s">
        <v>337</v>
      </c>
      <c r="I1920" s="296"/>
      <c r="K1920" s="358"/>
      <c r="W1920" s="253"/>
    </row>
    <row r="1921" spans="6:23" ht="20.25" customHeight="1">
      <c r="H1921" s="358" t="s">
        <v>1586</v>
      </c>
      <c r="I1921" s="296"/>
      <c r="K1921" s="358"/>
      <c r="W1921" s="253"/>
    </row>
    <row r="1922" spans="6:23" ht="20.25" customHeight="1">
      <c r="F1922" s="252">
        <v>1</v>
      </c>
      <c r="G1922" s="252" t="s">
        <v>826</v>
      </c>
      <c r="H1922" s="296" t="s">
        <v>338</v>
      </c>
      <c r="I1922" s="407">
        <f>E698</f>
        <v>98.6</v>
      </c>
      <c r="J1922" s="296" t="s">
        <v>826</v>
      </c>
      <c r="K1922" s="252">
        <f>(F1922*I1922)</f>
        <v>98.6</v>
      </c>
      <c r="W1922" s="253"/>
    </row>
    <row r="1923" spans="6:23" ht="20.25" customHeight="1">
      <c r="F1923" s="252">
        <v>1</v>
      </c>
      <c r="G1923" s="252" t="s">
        <v>449</v>
      </c>
      <c r="H1923" s="296" t="s">
        <v>339</v>
      </c>
      <c r="I1923" s="407">
        <f>I1922*0.2</f>
        <v>19.72</v>
      </c>
      <c r="J1923" s="296" t="s">
        <v>449</v>
      </c>
      <c r="K1923" s="252">
        <f>(F1923*I1923)</f>
        <v>19.72</v>
      </c>
      <c r="W1923" s="253"/>
    </row>
    <row r="1924" spans="6:23" ht="20.25" customHeight="1">
      <c r="F1924" s="252">
        <v>1</v>
      </c>
      <c r="G1924" s="252" t="s">
        <v>826</v>
      </c>
      <c r="H1924" s="296" t="s">
        <v>161</v>
      </c>
      <c r="I1924" s="407">
        <f>K1917</f>
        <v>191.4</v>
      </c>
      <c r="J1924" s="296" t="s">
        <v>826</v>
      </c>
      <c r="K1924" s="252">
        <f>(F1924*I1924)</f>
        <v>191.4</v>
      </c>
      <c r="W1924" s="253"/>
    </row>
    <row r="1925" spans="6:23" ht="20.25" customHeight="1">
      <c r="H1925" s="389" t="s">
        <v>1076</v>
      </c>
      <c r="I1925" s="407"/>
      <c r="J1925" s="296" t="s">
        <v>449</v>
      </c>
      <c r="K1925" s="252">
        <f>1.25+0.47</f>
        <v>1.72</v>
      </c>
      <c r="W1925" s="253"/>
    </row>
    <row r="1926" spans="6:23" ht="20.25" customHeight="1">
      <c r="I1926" s="296"/>
      <c r="K1926" s="358" t="s">
        <v>1586</v>
      </c>
      <c r="W1926" s="253"/>
    </row>
    <row r="1927" spans="6:23" ht="20.25" customHeight="1">
      <c r="H1927" s="296" t="s">
        <v>377</v>
      </c>
      <c r="I1927" s="296"/>
      <c r="K1927" s="274">
        <f>SUM(K1922:K1925)</f>
        <v>311.44</v>
      </c>
      <c r="W1927" s="253"/>
    </row>
    <row r="1928" spans="6:23" ht="20.25" customHeight="1">
      <c r="I1928" s="296"/>
      <c r="K1928" s="358" t="s">
        <v>2055</v>
      </c>
      <c r="W1928" s="253"/>
    </row>
    <row r="1929" spans="6:23" ht="20.25" customHeight="1">
      <c r="I1929" s="296"/>
      <c r="K1929" s="358"/>
      <c r="W1929" s="253"/>
    </row>
    <row r="1930" spans="6:23" ht="20.25" customHeight="1">
      <c r="I1930" s="296"/>
      <c r="K1930" s="358"/>
      <c r="W1930" s="253"/>
    </row>
    <row r="1931" spans="6:23" ht="20.25" customHeight="1">
      <c r="F1931" s="375">
        <v>53.1</v>
      </c>
      <c r="G1931" s="252" t="s">
        <v>2251</v>
      </c>
      <c r="H1931" s="296" t="s">
        <v>2219</v>
      </c>
      <c r="W1931" s="253"/>
    </row>
    <row r="1932" spans="6:23" ht="20.25" customHeight="1">
      <c r="H1932" s="276" t="s">
        <v>6127</v>
      </c>
      <c r="W1932" s="253"/>
    </row>
    <row r="1933" spans="6:23" ht="20.25" customHeight="1">
      <c r="H1933" s="296" t="s">
        <v>1142</v>
      </c>
      <c r="W1933" s="253"/>
    </row>
    <row r="1934" spans="6:23" ht="20.25" customHeight="1">
      <c r="H1934" s="296" t="s">
        <v>1143</v>
      </c>
      <c r="W1934" s="253"/>
    </row>
    <row r="1935" spans="6:23" ht="20.25" customHeight="1">
      <c r="H1935" s="358" t="s">
        <v>1586</v>
      </c>
      <c r="W1935" s="253"/>
    </row>
    <row r="1936" spans="6:23" ht="20.25" customHeight="1">
      <c r="F1936" s="500">
        <v>1</v>
      </c>
      <c r="G1936" s="500" t="s">
        <v>868</v>
      </c>
      <c r="H1936" s="389" t="s">
        <v>1579</v>
      </c>
      <c r="I1936" s="501">
        <v>1672</v>
      </c>
      <c r="J1936" s="312" t="s">
        <v>868</v>
      </c>
      <c r="K1936" s="500">
        <f>(F1936*I1936)</f>
        <v>1672</v>
      </c>
      <c r="W1936" s="253"/>
    </row>
    <row r="1937" spans="6:23" ht="20.25" customHeight="1">
      <c r="H1937" s="296"/>
      <c r="W1937" s="253"/>
    </row>
    <row r="1938" spans="6:23" ht="20.25" customHeight="1">
      <c r="H1938" s="296"/>
      <c r="J1938" s="253"/>
      <c r="W1938" s="253"/>
    </row>
    <row r="1939" spans="6:23" ht="20.25" customHeight="1">
      <c r="F1939" s="500">
        <v>1</v>
      </c>
      <c r="G1939" s="500" t="s">
        <v>868</v>
      </c>
      <c r="H1939" s="296" t="s">
        <v>5871</v>
      </c>
      <c r="I1939" s="502">
        <v>-169</v>
      </c>
      <c r="J1939" s="296" t="s">
        <v>868</v>
      </c>
      <c r="K1939" s="500">
        <f>(F1939*I1939)</f>
        <v>-169</v>
      </c>
      <c r="W1939" s="253"/>
    </row>
    <row r="1940" spans="6:23" ht="20.25" customHeight="1">
      <c r="H1940" s="296"/>
      <c r="J1940" s="253"/>
      <c r="W1940" s="253"/>
    </row>
    <row r="1941" spans="6:23" ht="20.25" customHeight="1">
      <c r="F1941" s="252">
        <v>1</v>
      </c>
      <c r="G1941" s="252" t="s">
        <v>868</v>
      </c>
      <c r="H1941" s="296" t="s">
        <v>2133</v>
      </c>
      <c r="I1941" s="503">
        <v>250</v>
      </c>
      <c r="J1941" s="296" t="s">
        <v>868</v>
      </c>
      <c r="K1941" s="504">
        <f>(F1941*I1941)</f>
        <v>250</v>
      </c>
      <c r="W1941" s="253"/>
    </row>
    <row r="1942" spans="6:23" ht="20.25" customHeight="1">
      <c r="H1942" s="296"/>
      <c r="W1942" s="253"/>
    </row>
    <row r="1943" spans="6:23" ht="20.25" customHeight="1">
      <c r="F1943" s="252">
        <v>0.5</v>
      </c>
      <c r="G1943" s="252" t="s">
        <v>868</v>
      </c>
      <c r="H1943" s="296" t="s">
        <v>2103</v>
      </c>
      <c r="I1943" s="252">
        <f>(C15)</f>
        <v>866</v>
      </c>
      <c r="J1943" s="296" t="s">
        <v>868</v>
      </c>
      <c r="K1943" s="252">
        <f>(F1943*I1943)</f>
        <v>433</v>
      </c>
      <c r="N1943" s="252">
        <f>7635</f>
        <v>7635</v>
      </c>
      <c r="W1943" s="253"/>
    </row>
    <row r="1944" spans="6:23" ht="20.25" customHeight="1">
      <c r="F1944" s="252">
        <v>1</v>
      </c>
      <c r="G1944" s="252" t="s">
        <v>868</v>
      </c>
      <c r="H1944" s="296" t="s">
        <v>1902</v>
      </c>
      <c r="I1944" s="252">
        <f>(C12)</f>
        <v>651</v>
      </c>
      <c r="J1944" s="296" t="s">
        <v>868</v>
      </c>
      <c r="K1944" s="252">
        <f>(F1944*I1944)</f>
        <v>651</v>
      </c>
      <c r="N1944" s="252">
        <f>N1943*4%</f>
        <v>305.39999999999998</v>
      </c>
      <c r="W1944" s="253"/>
    </row>
    <row r="1945" spans="6:23" ht="20.25" customHeight="1">
      <c r="F1945" s="252">
        <v>0.5</v>
      </c>
      <c r="G1945" s="252" t="s">
        <v>868</v>
      </c>
      <c r="H1945" s="296" t="s">
        <v>2009</v>
      </c>
      <c r="I1945" s="252">
        <f>(C10)</f>
        <v>999</v>
      </c>
      <c r="J1945" s="296" t="s">
        <v>868</v>
      </c>
      <c r="K1945" s="252">
        <f>(F1945*I1945)</f>
        <v>499.5</v>
      </c>
      <c r="N1945" s="252">
        <f>SUM(N1943:N1944)</f>
        <v>7940.4</v>
      </c>
      <c r="W1945" s="253"/>
    </row>
    <row r="1946" spans="6:23" ht="20.25" customHeight="1">
      <c r="G1946" s="252" t="s">
        <v>449</v>
      </c>
      <c r="H1946" s="296" t="s">
        <v>1144</v>
      </c>
      <c r="J1946" s="296" t="s">
        <v>449</v>
      </c>
      <c r="K1946" s="252">
        <v>0.82</v>
      </c>
      <c r="W1946" s="253"/>
    </row>
    <row r="1947" spans="6:23" ht="20.25" customHeight="1">
      <c r="K1947" s="358" t="s">
        <v>1586</v>
      </c>
      <c r="W1947" s="253"/>
    </row>
    <row r="1948" spans="6:23" ht="20.25" customHeight="1">
      <c r="H1948" s="296" t="s">
        <v>1751</v>
      </c>
      <c r="K1948" s="252">
        <f>SUM(K1936:K1946)</f>
        <v>3337.32</v>
      </c>
      <c r="W1948" s="253"/>
    </row>
    <row r="1949" spans="6:23" ht="20.25" customHeight="1">
      <c r="K1949" s="358" t="s">
        <v>1586</v>
      </c>
      <c r="W1949" s="253"/>
    </row>
    <row r="1950" spans="6:23" ht="20.25" customHeight="1">
      <c r="F1950" s="253" t="s">
        <v>1402</v>
      </c>
      <c r="H1950" s="296" t="s">
        <v>1403</v>
      </c>
      <c r="J1950" s="296" t="s">
        <v>1398</v>
      </c>
      <c r="K1950" s="505">
        <v>967.5</v>
      </c>
      <c r="V1950" s="296" t="s">
        <v>1451</v>
      </c>
      <c r="W1950" s="253"/>
    </row>
    <row r="1951" spans="6:23" ht="20.25" customHeight="1">
      <c r="H1951" s="296" t="s">
        <v>5872</v>
      </c>
      <c r="J1951" s="296" t="s">
        <v>1398</v>
      </c>
      <c r="K1951" s="506">
        <v>1864</v>
      </c>
      <c r="W1951" s="253"/>
    </row>
    <row r="1952" spans="6:23" ht="20.25" customHeight="1">
      <c r="F1952" s="253" t="s">
        <v>1404</v>
      </c>
      <c r="H1952" s="296" t="s">
        <v>1009</v>
      </c>
      <c r="J1952" s="296" t="s">
        <v>1398</v>
      </c>
      <c r="K1952" s="505">
        <v>30</v>
      </c>
      <c r="W1952" s="253"/>
    </row>
    <row r="1953" spans="6:23" ht="20.25" customHeight="1">
      <c r="F1953" s="253"/>
      <c r="H1953" s="296"/>
      <c r="K1953" s="296"/>
      <c r="W1953" s="253"/>
    </row>
    <row r="1954" spans="6:23" ht="20.25" customHeight="1">
      <c r="F1954" s="369">
        <v>54</v>
      </c>
      <c r="G1954" s="252" t="s">
        <v>2251</v>
      </c>
      <c r="H1954" s="296" t="s">
        <v>5326</v>
      </c>
      <c r="J1954" s="296" t="s">
        <v>1398</v>
      </c>
      <c r="K1954" s="507">
        <v>206</v>
      </c>
      <c r="W1954" s="253"/>
    </row>
    <row r="1955" spans="6:23" ht="20.25" customHeight="1">
      <c r="K1955" s="358" t="s">
        <v>2055</v>
      </c>
      <c r="W1955" s="253"/>
    </row>
    <row r="1956" spans="6:23" ht="20.25" customHeight="1">
      <c r="W1956" s="253"/>
    </row>
    <row r="1957" spans="6:23" ht="20.25" customHeight="1">
      <c r="F1957" s="375">
        <v>54.1</v>
      </c>
      <c r="G1957" s="252" t="s">
        <v>2251</v>
      </c>
      <c r="H1957" s="296" t="s">
        <v>1294</v>
      </c>
      <c r="J1957" s="296" t="s">
        <v>1398</v>
      </c>
      <c r="K1957" s="434">
        <v>300</v>
      </c>
      <c r="W1957" s="253"/>
    </row>
    <row r="1958" spans="6:23" ht="20.25" customHeight="1">
      <c r="K1958" s="358" t="s">
        <v>2055</v>
      </c>
      <c r="W1958" s="253"/>
    </row>
    <row r="1959" spans="6:23" ht="20.25" customHeight="1">
      <c r="W1959" s="253"/>
    </row>
    <row r="1960" spans="6:23" ht="20.25" customHeight="1">
      <c r="F1960" s="375">
        <v>54.2</v>
      </c>
      <c r="G1960" s="252" t="s">
        <v>2251</v>
      </c>
      <c r="H1960" s="296" t="s">
        <v>938</v>
      </c>
      <c r="J1960" s="296" t="s">
        <v>1398</v>
      </c>
      <c r="K1960" s="434">
        <v>250</v>
      </c>
      <c r="W1960" s="253"/>
    </row>
    <row r="1961" spans="6:23" ht="20.25" customHeight="1">
      <c r="K1961" s="358" t="s">
        <v>2055</v>
      </c>
      <c r="W1961" s="253"/>
    </row>
    <row r="1962" spans="6:23" ht="20.25" customHeight="1">
      <c r="W1962" s="253"/>
    </row>
    <row r="1963" spans="6:23" ht="20.25" customHeight="1">
      <c r="F1963" s="253" t="s">
        <v>1140</v>
      </c>
      <c r="G1963" s="252" t="s">
        <v>2251</v>
      </c>
      <c r="H1963" s="296" t="s">
        <v>81</v>
      </c>
      <c r="M1963" s="253" t="s">
        <v>1140</v>
      </c>
      <c r="N1963" s="252" t="s">
        <v>2251</v>
      </c>
      <c r="O1963" s="296" t="s">
        <v>81</v>
      </c>
      <c r="Q1963" s="296"/>
      <c r="W1963" s="253"/>
    </row>
    <row r="1964" spans="6:23" ht="20.25" customHeight="1">
      <c r="H1964" s="296" t="s">
        <v>1102</v>
      </c>
      <c r="O1964" s="296" t="s">
        <v>1102</v>
      </c>
      <c r="Q1964" s="296"/>
      <c r="W1964" s="253"/>
    </row>
    <row r="1965" spans="6:23" ht="20.25" customHeight="1">
      <c r="H1965" s="296" t="s">
        <v>1103</v>
      </c>
      <c r="O1965" s="296" t="s">
        <v>1103</v>
      </c>
      <c r="Q1965" s="296"/>
      <c r="W1965" s="253"/>
    </row>
    <row r="1966" spans="6:23" ht="20.25" customHeight="1">
      <c r="H1966" s="296" t="s">
        <v>1104</v>
      </c>
      <c r="O1966" s="296" t="s">
        <v>1104</v>
      </c>
      <c r="Q1966" s="296"/>
      <c r="W1966" s="253"/>
    </row>
    <row r="1967" spans="6:23" ht="20.25" customHeight="1">
      <c r="H1967" s="358" t="s">
        <v>1586</v>
      </c>
      <c r="O1967" s="358" t="s">
        <v>1586</v>
      </c>
      <c r="Q1967" s="296"/>
      <c r="W1967" s="253"/>
    </row>
    <row r="1968" spans="6:23" ht="20.25"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0.25"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0.25"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0.25" customHeight="1">
      <c r="F1971" s="356">
        <v>8.1000000000000003E-2</v>
      </c>
      <c r="G1971" s="252" t="s">
        <v>869</v>
      </c>
      <c r="H1971" s="296" t="s">
        <v>252</v>
      </c>
      <c r="I1971" s="252">
        <f>(R60)</f>
        <v>4047</v>
      </c>
      <c r="J1971" s="296" t="s">
        <v>869</v>
      </c>
      <c r="K1971" s="252">
        <f t="shared" si="235"/>
        <v>327.81</v>
      </c>
      <c r="M1971" s="356">
        <v>8.1000000000000003E-2</v>
      </c>
      <c r="N1971" s="252" t="s">
        <v>869</v>
      </c>
      <c r="O1971" s="296" t="s">
        <v>252</v>
      </c>
      <c r="P1971" s="252">
        <f t="shared" si="237"/>
        <v>4047</v>
      </c>
      <c r="Q1971" s="296" t="s">
        <v>869</v>
      </c>
      <c r="R1971" s="252">
        <f t="shared" si="236"/>
        <v>327.81</v>
      </c>
      <c r="W1971" s="253"/>
    </row>
    <row r="1972" spans="6:23" ht="20.25"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0.25"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0.25"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0.25" customHeight="1">
      <c r="G1975" s="252" t="s">
        <v>449</v>
      </c>
      <c r="H1975" s="296" t="s">
        <v>450</v>
      </c>
      <c r="I1975" s="296" t="s">
        <v>975</v>
      </c>
      <c r="J1975" s="296" t="s">
        <v>449</v>
      </c>
      <c r="K1975" s="252">
        <v>1.25</v>
      </c>
      <c r="O1975" s="276" t="s">
        <v>4235</v>
      </c>
      <c r="P1975" s="252" t="str">
        <f t="shared" si="237"/>
        <v xml:space="preserve"> </v>
      </c>
      <c r="Q1975" s="296"/>
      <c r="R1975" s="508">
        <v>-164</v>
      </c>
      <c r="W1975" s="253"/>
    </row>
    <row r="1976" spans="6:23" ht="20.25" customHeight="1">
      <c r="K1976" s="358" t="s">
        <v>1586</v>
      </c>
      <c r="O1976" s="276" t="s">
        <v>4236</v>
      </c>
      <c r="Q1976" s="296"/>
      <c r="R1976" s="508">
        <v>134.1</v>
      </c>
      <c r="W1976" s="253"/>
    </row>
    <row r="1977" spans="6:23" ht="20.25" customHeight="1" thickBot="1">
      <c r="H1977" s="296" t="s">
        <v>1751</v>
      </c>
      <c r="K1977" s="252">
        <f>SUM(K1968:K1975)</f>
        <v>3355.43</v>
      </c>
      <c r="N1977" s="252" t="s">
        <v>657</v>
      </c>
      <c r="O1977" s="276" t="s">
        <v>2271</v>
      </c>
      <c r="Q1977" s="296"/>
      <c r="R1977" s="252">
        <v>0.32</v>
      </c>
      <c r="W1977" s="253"/>
    </row>
    <row r="1978" spans="6:23" ht="20.25" customHeight="1" thickTop="1">
      <c r="K1978" s="358" t="s">
        <v>2055</v>
      </c>
      <c r="O1978" s="296" t="s">
        <v>1751</v>
      </c>
      <c r="Q1978" s="296"/>
      <c r="R1978" s="509">
        <f>SUM(R1968:R1977)</f>
        <v>3324.6</v>
      </c>
      <c r="W1978" s="253"/>
    </row>
    <row r="1979" spans="6:23" ht="20.25" customHeight="1" thickBot="1">
      <c r="G1979" s="252" t="s">
        <v>975</v>
      </c>
      <c r="H1979" s="296" t="s">
        <v>975</v>
      </c>
      <c r="K1979" s="296" t="s">
        <v>975</v>
      </c>
      <c r="Q1979" s="296"/>
      <c r="R1979" s="510"/>
      <c r="W1979" s="253"/>
    </row>
    <row r="1980" spans="6:23" ht="20.25" customHeight="1" thickTop="1">
      <c r="J1980" s="296" t="s">
        <v>975</v>
      </c>
      <c r="K1980" s="296" t="s">
        <v>975</v>
      </c>
      <c r="W1980" s="253"/>
    </row>
    <row r="1981" spans="6:23" ht="20.25" customHeight="1">
      <c r="F1981" s="253" t="s">
        <v>253</v>
      </c>
      <c r="G1981" s="252" t="s">
        <v>2251</v>
      </c>
      <c r="H1981" s="296" t="s">
        <v>81</v>
      </c>
      <c r="M1981" s="253" t="s">
        <v>253</v>
      </c>
      <c r="N1981" s="252" t="s">
        <v>2251</v>
      </c>
      <c r="O1981" s="296" t="s">
        <v>81</v>
      </c>
      <c r="Q1981" s="296"/>
      <c r="W1981" s="253"/>
    </row>
    <row r="1982" spans="6:23" ht="20.25" customHeight="1">
      <c r="H1982" s="296" t="s">
        <v>1102</v>
      </c>
      <c r="O1982" s="296" t="s">
        <v>1102</v>
      </c>
      <c r="Q1982" s="296"/>
      <c r="W1982" s="253"/>
    </row>
    <row r="1983" spans="6:23" ht="20.25" customHeight="1">
      <c r="H1983" s="296" t="s">
        <v>1103</v>
      </c>
      <c r="O1983" s="296" t="s">
        <v>1103</v>
      </c>
      <c r="Q1983" s="296"/>
      <c r="W1983" s="253"/>
    </row>
    <row r="1984" spans="6:23" ht="20.25" customHeight="1">
      <c r="H1984" s="296" t="s">
        <v>254</v>
      </c>
      <c r="O1984" s="296" t="s">
        <v>254</v>
      </c>
      <c r="Q1984" s="296"/>
      <c r="W1984" s="253"/>
    </row>
    <row r="1985" spans="6:23" ht="20.25" customHeight="1">
      <c r="H1985" s="358" t="s">
        <v>1586</v>
      </c>
      <c r="O1985" s="358" t="s">
        <v>1586</v>
      </c>
      <c r="Q1985" s="296"/>
      <c r="W1985" s="253"/>
    </row>
    <row r="1986" spans="6:23" ht="20.25"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0.25" customHeight="1">
      <c r="F1987" s="356">
        <v>0.40500000000000003</v>
      </c>
      <c r="G1987" s="252" t="s">
        <v>869</v>
      </c>
      <c r="H1987" s="296" t="s">
        <v>2216</v>
      </c>
      <c r="I1987" s="252">
        <f>('Print Data'!F681)</f>
        <v>3620.05</v>
      </c>
      <c r="J1987" s="296" t="s">
        <v>869</v>
      </c>
      <c r="K1987" s="252">
        <f>(F1987*I1987)</f>
        <v>1466.12</v>
      </c>
      <c r="M1987" s="356">
        <v>0.40500000000000003</v>
      </c>
      <c r="N1987" s="252" t="s">
        <v>869</v>
      </c>
      <c r="O1987" s="296" t="s">
        <v>2216</v>
      </c>
      <c r="P1987" s="252">
        <f t="shared" ref="P1987:P1996" si="238">I1987</f>
        <v>3620.05</v>
      </c>
      <c r="Q1987" s="296" t="s">
        <v>869</v>
      </c>
      <c r="R1987" s="252">
        <f>(M1987*P1987)</f>
        <v>1466.12</v>
      </c>
      <c r="W1987" s="253"/>
    </row>
    <row r="1988" spans="6:23" ht="20.25" customHeight="1">
      <c r="H1988" s="296" t="s">
        <v>1097</v>
      </c>
      <c r="I1988" s="296" t="s">
        <v>975</v>
      </c>
      <c r="K1988" s="296" t="s">
        <v>975</v>
      </c>
      <c r="O1988" s="296" t="s">
        <v>1097</v>
      </c>
      <c r="P1988" s="252" t="str">
        <f t="shared" si="238"/>
        <v xml:space="preserve"> </v>
      </c>
      <c r="Q1988" s="296"/>
      <c r="R1988" s="296" t="s">
        <v>975</v>
      </c>
      <c r="W1988" s="253"/>
    </row>
    <row r="1989" spans="6:23" ht="20.25" customHeight="1">
      <c r="F1989" s="252">
        <v>1.89</v>
      </c>
      <c r="G1989" s="252" t="s">
        <v>609</v>
      </c>
      <c r="H1989" s="296" t="s">
        <v>264</v>
      </c>
      <c r="I1989" s="252">
        <f>(K1442)</f>
        <v>276.82</v>
      </c>
      <c r="J1989" s="296" t="s">
        <v>609</v>
      </c>
      <c r="K1989" s="252">
        <f>(F1989*I1989)</f>
        <v>523.19000000000005</v>
      </c>
      <c r="M1989" s="252">
        <v>1.89</v>
      </c>
      <c r="N1989" s="252" t="s">
        <v>609</v>
      </c>
      <c r="O1989" s="296" t="s">
        <v>264</v>
      </c>
      <c r="P1989" s="252">
        <f t="shared" si="238"/>
        <v>276.82</v>
      </c>
      <c r="Q1989" s="296" t="s">
        <v>609</v>
      </c>
      <c r="R1989" s="252">
        <f>(M1989*P1989)</f>
        <v>523.19000000000005</v>
      </c>
      <c r="W1989" s="253"/>
    </row>
    <row r="1990" spans="6:23" ht="20.25" customHeight="1">
      <c r="H1990" s="296" t="s">
        <v>265</v>
      </c>
      <c r="I1990" s="296" t="s">
        <v>975</v>
      </c>
      <c r="K1990" s="296" t="s">
        <v>975</v>
      </c>
      <c r="O1990" s="296" t="s">
        <v>265</v>
      </c>
      <c r="P1990" s="252" t="str">
        <f t="shared" si="238"/>
        <v xml:space="preserve"> </v>
      </c>
      <c r="Q1990" s="296"/>
      <c r="R1990" s="296" t="s">
        <v>975</v>
      </c>
      <c r="W1990" s="253"/>
    </row>
    <row r="1991" spans="6:23" ht="20.25" customHeight="1">
      <c r="F1991" s="356">
        <v>8.1000000000000003E-2</v>
      </c>
      <c r="G1991" s="252" t="s">
        <v>869</v>
      </c>
      <c r="H1991" s="296" t="s">
        <v>266</v>
      </c>
      <c r="I1991" s="252">
        <f>(R60)</f>
        <v>4047</v>
      </c>
      <c r="J1991" s="296" t="s">
        <v>869</v>
      </c>
      <c r="K1991" s="252">
        <f>(F1991*I1991)</f>
        <v>327.81</v>
      </c>
      <c r="M1991" s="356">
        <v>8.1000000000000003E-2</v>
      </c>
      <c r="N1991" s="252" t="s">
        <v>869</v>
      </c>
      <c r="O1991" s="296" t="s">
        <v>266</v>
      </c>
      <c r="P1991" s="252">
        <f t="shared" si="238"/>
        <v>4047</v>
      </c>
      <c r="Q1991" s="296" t="s">
        <v>869</v>
      </c>
      <c r="R1991" s="252">
        <f>(M1991*P1991)</f>
        <v>327.81</v>
      </c>
      <c r="W1991" s="253"/>
    </row>
    <row r="1992" spans="6:23" ht="20.25" customHeight="1">
      <c r="H1992" s="296" t="s">
        <v>267</v>
      </c>
      <c r="O1992" s="296" t="s">
        <v>267</v>
      </c>
      <c r="Q1992" s="296"/>
      <c r="W1992" s="253"/>
    </row>
    <row r="1993" spans="6:23" ht="20.25"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0.25"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08">
        <f>(M1994*P1994)</f>
        <v>466</v>
      </c>
      <c r="W1994" s="253"/>
    </row>
    <row r="1995" spans="6:23" ht="20.25"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08">
        <f>(M1995*P1995)</f>
        <v>325.5</v>
      </c>
      <c r="W1995" s="253"/>
    </row>
    <row r="1996" spans="6:23" ht="20.25" customHeight="1">
      <c r="G1996" s="252" t="s">
        <v>449</v>
      </c>
      <c r="H1996" s="296" t="s">
        <v>450</v>
      </c>
      <c r="I1996" s="296" t="s">
        <v>975</v>
      </c>
      <c r="J1996" s="296" t="s">
        <v>449</v>
      </c>
      <c r="K1996" s="252">
        <v>1.03</v>
      </c>
      <c r="O1996" s="276" t="s">
        <v>4235</v>
      </c>
      <c r="P1996" s="252" t="str">
        <f t="shared" si="238"/>
        <v xml:space="preserve"> </v>
      </c>
      <c r="Q1996" s="296"/>
      <c r="R1996" s="508">
        <v>-164</v>
      </c>
      <c r="W1996" s="253"/>
    </row>
    <row r="1997" spans="6:23" ht="20.25" customHeight="1">
      <c r="H1997" s="296" t="s">
        <v>975</v>
      </c>
      <c r="K1997" s="358" t="s">
        <v>1586</v>
      </c>
      <c r="O1997" s="276" t="s">
        <v>4236</v>
      </c>
      <c r="Q1997" s="296"/>
      <c r="R1997" s="508">
        <v>134.1</v>
      </c>
      <c r="W1997" s="253"/>
    </row>
    <row r="1998" spans="6:23" ht="20.25" customHeight="1" thickBot="1">
      <c r="H1998" s="296" t="s">
        <v>1751</v>
      </c>
      <c r="K1998" s="252">
        <f>SUM(K1986:K1996)</f>
        <v>5176.6499999999996</v>
      </c>
      <c r="N1998" s="252" t="s">
        <v>657</v>
      </c>
      <c r="O1998" s="276" t="s">
        <v>2271</v>
      </c>
      <c r="Q1998" s="296"/>
      <c r="R1998" s="508">
        <v>0.47</v>
      </c>
      <c r="W1998" s="253"/>
    </row>
    <row r="1999" spans="6:23" ht="20.25" customHeight="1" thickTop="1">
      <c r="K1999" s="358" t="s">
        <v>2055</v>
      </c>
      <c r="O1999" s="296" t="s">
        <v>1751</v>
      </c>
      <c r="Q1999" s="296"/>
      <c r="R1999" s="509">
        <f>SUM(R1986:R1998)</f>
        <v>5146.1899999999996</v>
      </c>
      <c r="W1999" s="253"/>
    </row>
    <row r="2000" spans="6:23" ht="20.25" customHeight="1" thickBot="1">
      <c r="G2000" s="252" t="s">
        <v>975</v>
      </c>
      <c r="H2000" s="296" t="s">
        <v>975</v>
      </c>
      <c r="K2000" s="296" t="s">
        <v>975</v>
      </c>
      <c r="Q2000" s="296"/>
      <c r="R2000" s="510"/>
      <c r="W2000" s="253"/>
    </row>
    <row r="2001" spans="6:23" ht="20.25" customHeight="1" thickTop="1">
      <c r="F2001" s="369">
        <v>57</v>
      </c>
      <c r="G2001" s="252" t="s">
        <v>2251</v>
      </c>
      <c r="H2001" s="296" t="s">
        <v>6128</v>
      </c>
      <c r="W2001" s="253"/>
    </row>
    <row r="2002" spans="6:23" ht="20.25" customHeight="1">
      <c r="H2002" s="296" t="s">
        <v>201</v>
      </c>
      <c r="M2002" s="369">
        <v>57</v>
      </c>
      <c r="N2002" s="252" t="s">
        <v>2251</v>
      </c>
      <c r="O2002" s="296" t="s">
        <v>6128</v>
      </c>
      <c r="Q2002" s="296"/>
      <c r="S2002" s="252"/>
      <c r="W2002" s="253"/>
    </row>
    <row r="2003" spans="6:23" ht="20.25" customHeight="1">
      <c r="H2003" s="296" t="s">
        <v>1772</v>
      </c>
      <c r="O2003" s="296" t="s">
        <v>201</v>
      </c>
      <c r="Q2003" s="296"/>
      <c r="S2003" s="252"/>
      <c r="W2003" s="253"/>
    </row>
    <row r="2004" spans="6:23" ht="20.25" customHeight="1">
      <c r="H2004" s="358" t="s">
        <v>1586</v>
      </c>
      <c r="O2004" s="296" t="s">
        <v>1772</v>
      </c>
      <c r="Q2004" s="296"/>
      <c r="S2004" s="252"/>
      <c r="W2004" s="253"/>
    </row>
    <row r="2005" spans="6:23" ht="20.25" customHeight="1">
      <c r="F2005" s="500">
        <v>1</v>
      </c>
      <c r="G2005" s="500" t="s">
        <v>783</v>
      </c>
      <c r="H2005" s="260" t="s">
        <v>4128</v>
      </c>
      <c r="I2005" s="500">
        <f>C613</f>
        <v>3090</v>
      </c>
      <c r="J2005" s="312" t="s">
        <v>783</v>
      </c>
      <c r="K2005" s="500">
        <f>(F2005*I2005)</f>
        <v>3090</v>
      </c>
      <c r="O2005" s="358" t="s">
        <v>1586</v>
      </c>
      <c r="Q2005" s="296"/>
      <c r="S2005" s="252"/>
      <c r="W2005" s="253"/>
    </row>
    <row r="2006" spans="6:23" ht="20.25" customHeight="1">
      <c r="H2006" s="276" t="s">
        <v>1161</v>
      </c>
      <c r="M2006" s="500">
        <v>1</v>
      </c>
      <c r="N2006" s="500" t="s">
        <v>783</v>
      </c>
      <c r="O2006" s="260" t="s">
        <v>1122</v>
      </c>
      <c r="P2006" s="500">
        <f>I2005</f>
        <v>3090</v>
      </c>
      <c r="Q2006" s="312" t="s">
        <v>783</v>
      </c>
      <c r="R2006" s="500">
        <f>(M2006*P2006)</f>
        <v>3090</v>
      </c>
      <c r="S2006" s="252"/>
      <c r="W2006" s="253"/>
    </row>
    <row r="2007" spans="6:23" ht="20.25" customHeight="1">
      <c r="F2007" s="252">
        <v>1</v>
      </c>
      <c r="G2007" s="252" t="s">
        <v>868</v>
      </c>
      <c r="H2007" s="296" t="s">
        <v>2009</v>
      </c>
      <c r="I2007" s="252">
        <f>(C10)</f>
        <v>999</v>
      </c>
      <c r="J2007" s="296" t="s">
        <v>868</v>
      </c>
      <c r="K2007" s="252">
        <f>(F2007*I2007)</f>
        <v>999</v>
      </c>
      <c r="O2007" s="276" t="s">
        <v>1161</v>
      </c>
      <c r="Q2007" s="296"/>
      <c r="S2007" s="252"/>
      <c r="W2007" s="253"/>
    </row>
    <row r="2008" spans="6:23" ht="20.25"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0.25"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0.25" customHeight="1">
      <c r="H2010" s="276" t="s">
        <v>713</v>
      </c>
      <c r="M2010" s="252">
        <v>1</v>
      </c>
      <c r="N2010" s="252" t="s">
        <v>868</v>
      </c>
      <c r="O2010" s="296" t="s">
        <v>320</v>
      </c>
      <c r="P2010" s="252">
        <f t="shared" si="239"/>
        <v>534</v>
      </c>
      <c r="Q2010" s="296" t="s">
        <v>868</v>
      </c>
      <c r="R2010" s="252">
        <f>(M2010*P2010)</f>
        <v>534</v>
      </c>
      <c r="S2010" s="252"/>
      <c r="W2010" s="253"/>
    </row>
    <row r="2011" spans="6:23" ht="20.25" customHeight="1">
      <c r="F2011" s="252">
        <v>0.5</v>
      </c>
      <c r="G2011" s="252" t="s">
        <v>868</v>
      </c>
      <c r="H2011" s="296" t="s">
        <v>2103</v>
      </c>
      <c r="I2011" s="252">
        <f>(C15)</f>
        <v>866</v>
      </c>
      <c r="J2011" s="296" t="s">
        <v>868</v>
      </c>
      <c r="K2011" s="252">
        <f>(F2011*I2011)</f>
        <v>433</v>
      </c>
      <c r="O2011" s="276" t="s">
        <v>713</v>
      </c>
      <c r="Q2011" s="296"/>
      <c r="S2011" s="252"/>
      <c r="W2011" s="253"/>
    </row>
    <row r="2012" spans="6:23" ht="20.25"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0.25"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0.25" customHeight="1">
      <c r="K2014" s="358" t="s">
        <v>1586</v>
      </c>
      <c r="O2014" s="276" t="s">
        <v>4235</v>
      </c>
      <c r="P2014" s="252">
        <f>I2014</f>
        <v>0</v>
      </c>
      <c r="Q2014" s="296"/>
      <c r="R2014" s="314">
        <v>-164</v>
      </c>
      <c r="S2014" s="252"/>
      <c r="W2014" s="253"/>
    </row>
    <row r="2015" spans="6:23" ht="20.25" customHeight="1">
      <c r="H2015" s="296" t="s">
        <v>1751</v>
      </c>
      <c r="K2015" s="252">
        <f>SUM(K2005:K2013)</f>
        <v>7114.2</v>
      </c>
      <c r="O2015" s="276" t="s">
        <v>4236</v>
      </c>
      <c r="Q2015" s="296"/>
      <c r="R2015" s="314">
        <v>134.1</v>
      </c>
      <c r="S2015" s="252"/>
      <c r="W2015" s="253"/>
    </row>
    <row r="2016" spans="6:23" ht="20.25" customHeight="1">
      <c r="F2016" s="296" t="s">
        <v>975</v>
      </c>
      <c r="N2016" s="252" t="s">
        <v>449</v>
      </c>
      <c r="O2016" s="296" t="s">
        <v>450</v>
      </c>
      <c r="Q2016" s="296" t="s">
        <v>449</v>
      </c>
      <c r="R2016" s="252">
        <v>0.7</v>
      </c>
      <c r="S2016" s="252"/>
      <c r="W2016" s="253"/>
    </row>
    <row r="2017" spans="6:23" ht="20.25" customHeight="1">
      <c r="K2017" s="358" t="s">
        <v>1586</v>
      </c>
      <c r="O2017" s="296" t="s">
        <v>1751</v>
      </c>
      <c r="Q2017" s="296"/>
      <c r="S2017" s="252"/>
      <c r="W2017" s="253"/>
    </row>
    <row r="2018" spans="6:23" ht="20.25" customHeight="1">
      <c r="G2018" s="252" t="s">
        <v>975</v>
      </c>
      <c r="H2018" s="296" t="s">
        <v>975</v>
      </c>
      <c r="K2018" s="296" t="s">
        <v>975</v>
      </c>
      <c r="Q2018" s="296"/>
      <c r="R2018" s="274">
        <f>SUM(R2006:R2017)</f>
        <v>7084.3</v>
      </c>
      <c r="S2018" s="252"/>
      <c r="W2018" s="253"/>
    </row>
    <row r="2019" spans="6:23" ht="20.25" customHeight="1">
      <c r="H2019" s="296" t="s">
        <v>975</v>
      </c>
      <c r="M2019" s="296" t="s">
        <v>975</v>
      </c>
      <c r="S2019" s="252"/>
      <c r="W2019" s="253"/>
    </row>
    <row r="2020" spans="6:23" ht="20.25" customHeight="1">
      <c r="F2020" s="375">
        <v>57.1</v>
      </c>
      <c r="G2020" s="252" t="s">
        <v>2251</v>
      </c>
      <c r="H2020" s="296" t="s">
        <v>6129</v>
      </c>
      <c r="M2020" s="369">
        <v>57</v>
      </c>
      <c r="N2020" s="252" t="s">
        <v>2251</v>
      </c>
      <c r="O2020" s="296" t="s">
        <v>6129</v>
      </c>
      <c r="Q2020" s="296"/>
      <c r="S2020" s="252"/>
      <c r="W2020" s="253"/>
    </row>
    <row r="2021" spans="6:23" ht="20.25" customHeight="1">
      <c r="H2021" s="296" t="s">
        <v>201</v>
      </c>
      <c r="O2021" s="296" t="s">
        <v>201</v>
      </c>
      <c r="Q2021" s="296"/>
      <c r="W2021" s="253"/>
    </row>
    <row r="2022" spans="6:23" ht="20.25" customHeight="1">
      <c r="H2022" s="296" t="s">
        <v>1772</v>
      </c>
      <c r="O2022" s="296" t="s">
        <v>1772</v>
      </c>
      <c r="Q2022" s="296"/>
      <c r="W2022" s="253"/>
    </row>
    <row r="2023" spans="6:23" ht="20.25" customHeight="1">
      <c r="H2023" s="358" t="s">
        <v>1586</v>
      </c>
      <c r="O2023" s="358" t="s">
        <v>1586</v>
      </c>
      <c r="Q2023" s="296"/>
      <c r="W2023" s="253"/>
    </row>
    <row r="2024" spans="6:23" ht="20.25" customHeight="1">
      <c r="F2024" s="500">
        <v>1</v>
      </c>
      <c r="G2024" s="500" t="s">
        <v>783</v>
      </c>
      <c r="H2024" s="389" t="s">
        <v>1122</v>
      </c>
      <c r="I2024" s="252">
        <f>E613</f>
        <v>3484</v>
      </c>
      <c r="J2024" s="312" t="s">
        <v>783</v>
      </c>
      <c r="K2024" s="500">
        <f>(F2024*I2024)</f>
        <v>3484</v>
      </c>
      <c r="M2024" s="500">
        <v>1</v>
      </c>
      <c r="N2024" s="500" t="s">
        <v>783</v>
      </c>
      <c r="O2024" s="260" t="s">
        <v>1122</v>
      </c>
      <c r="P2024" s="500">
        <f>I2024</f>
        <v>3484</v>
      </c>
      <c r="Q2024" s="312" t="s">
        <v>783</v>
      </c>
      <c r="R2024" s="500">
        <f>(M2024*P2024)</f>
        <v>3484</v>
      </c>
      <c r="W2024" s="253"/>
    </row>
    <row r="2025" spans="6:23" ht="20.25" customHeight="1">
      <c r="H2025" s="276" t="s">
        <v>1161</v>
      </c>
      <c r="O2025" s="276" t="s">
        <v>1161</v>
      </c>
      <c r="Q2025" s="296"/>
      <c r="R2025" s="500"/>
      <c r="W2025" s="253"/>
    </row>
    <row r="2026" spans="6:23" ht="20.25"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00">
        <f>(M2026*P2026)</f>
        <v>999</v>
      </c>
      <c r="W2026" s="253"/>
    </row>
    <row r="2027" spans="6:23" ht="20.25"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00">
        <f>(M2027*P2027)</f>
        <v>1732</v>
      </c>
      <c r="W2027" s="253"/>
    </row>
    <row r="2028" spans="6:23" ht="20.25"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00">
        <f>(M2028*P2028)</f>
        <v>534</v>
      </c>
      <c r="W2028" s="253"/>
    </row>
    <row r="2029" spans="6:23" ht="20.25" customHeight="1">
      <c r="H2029" s="276" t="s">
        <v>713</v>
      </c>
      <c r="O2029" s="276" t="s">
        <v>713</v>
      </c>
      <c r="Q2029" s="296"/>
      <c r="W2029" s="253"/>
    </row>
    <row r="2030" spans="6:23" ht="20.25"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0.25"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0.25" customHeight="1">
      <c r="G2032" s="252" t="s">
        <v>449</v>
      </c>
      <c r="H2032" s="296" t="s">
        <v>450</v>
      </c>
      <c r="J2032" s="296" t="s">
        <v>449</v>
      </c>
      <c r="K2032" s="252">
        <v>0.7</v>
      </c>
      <c r="O2032" s="276" t="s">
        <v>4235</v>
      </c>
      <c r="P2032" s="252">
        <f>I2032</f>
        <v>0</v>
      </c>
      <c r="Q2032" s="296"/>
      <c r="R2032" s="314">
        <v>-164</v>
      </c>
      <c r="W2032" s="253"/>
    </row>
    <row r="2033" spans="6:23" ht="20.25" customHeight="1">
      <c r="K2033" s="358" t="s">
        <v>1586</v>
      </c>
      <c r="O2033" s="276" t="s">
        <v>4236</v>
      </c>
      <c r="Q2033" s="296"/>
      <c r="R2033" s="314">
        <v>134.1</v>
      </c>
      <c r="W2033" s="253"/>
    </row>
    <row r="2034" spans="6:23" ht="20.25" customHeight="1">
      <c r="H2034" s="296" t="s">
        <v>1751</v>
      </c>
      <c r="K2034" s="252">
        <f>SUM(K2024:K2032)</f>
        <v>7508.2</v>
      </c>
      <c r="N2034" s="252" t="s">
        <v>449</v>
      </c>
      <c r="O2034" s="296" t="s">
        <v>450</v>
      </c>
      <c r="Q2034" s="296" t="s">
        <v>449</v>
      </c>
      <c r="R2034" s="252">
        <v>0.7</v>
      </c>
      <c r="W2034" s="253"/>
    </row>
    <row r="2035" spans="6:23" ht="20.25" customHeight="1">
      <c r="H2035" s="296"/>
      <c r="Q2035" s="296"/>
      <c r="R2035" s="358" t="s">
        <v>1586</v>
      </c>
      <c r="W2035" s="253"/>
    </row>
    <row r="2036" spans="6:23" ht="20.25" customHeight="1">
      <c r="H2036" s="296"/>
      <c r="K2036" s="358" t="s">
        <v>1586</v>
      </c>
      <c r="O2036" s="296" t="s">
        <v>1751</v>
      </c>
      <c r="Q2036" s="296"/>
      <c r="W2036" s="253"/>
    </row>
    <row r="2037" spans="6:23" ht="20.25" customHeight="1">
      <c r="H2037" s="296"/>
      <c r="M2037" s="296" t="s">
        <v>975</v>
      </c>
      <c r="Q2037" s="296"/>
      <c r="R2037" s="274">
        <f>SUM(R2024:R2036)</f>
        <v>7478.3</v>
      </c>
      <c r="W2037" s="253"/>
    </row>
    <row r="2038" spans="6:23" ht="20.25" customHeight="1">
      <c r="F2038" s="253" t="s">
        <v>714</v>
      </c>
      <c r="G2038" s="252" t="s">
        <v>2251</v>
      </c>
      <c r="H2038" s="296" t="s">
        <v>808</v>
      </c>
      <c r="Q2038" s="296"/>
      <c r="R2038" s="358" t="s">
        <v>1586</v>
      </c>
      <c r="W2038" s="253"/>
    </row>
    <row r="2039" spans="6:23" ht="20.25" customHeight="1">
      <c r="H2039" s="296" t="s">
        <v>160</v>
      </c>
      <c r="W2039" s="253"/>
    </row>
    <row r="2040" spans="6:23" ht="20.25" customHeight="1">
      <c r="H2040" s="358" t="s">
        <v>1586</v>
      </c>
      <c r="W2040" s="253"/>
    </row>
    <row r="2041" spans="6:23" ht="20.25" customHeight="1">
      <c r="G2041" s="252" t="s">
        <v>689</v>
      </c>
      <c r="H2041" s="296" t="s">
        <v>40</v>
      </c>
      <c r="W2041" s="253"/>
    </row>
    <row r="2042" spans="6:23" ht="20.25" customHeight="1">
      <c r="H2042" s="296" t="s">
        <v>6130</v>
      </c>
      <c r="W2042" s="253"/>
    </row>
    <row r="2043" spans="6:23" ht="20.25" customHeight="1">
      <c r="H2043" s="296" t="s">
        <v>946</v>
      </c>
      <c r="M2043" s="511"/>
      <c r="N2043" s="512"/>
      <c r="O2043" s="513" t="s">
        <v>1999</v>
      </c>
      <c r="P2043" s="512"/>
      <c r="Q2043" s="513"/>
      <c r="R2043" s="512"/>
      <c r="W2043" s="253"/>
    </row>
    <row r="2044" spans="6:23" ht="20.25" customHeight="1">
      <c r="H2044" s="296" t="s">
        <v>947</v>
      </c>
      <c r="M2044" s="511"/>
      <c r="N2044" s="512"/>
      <c r="O2044" s="513" t="s">
        <v>5160</v>
      </c>
      <c r="P2044" s="512"/>
      <c r="Q2044" s="513"/>
      <c r="R2044" s="512"/>
      <c r="W2044" s="253"/>
    </row>
    <row r="2045" spans="6:23" ht="20.25" customHeight="1">
      <c r="H2045" s="296" t="s">
        <v>2104</v>
      </c>
      <c r="M2045" s="512"/>
      <c r="N2045" s="512"/>
      <c r="O2045" s="514" t="s">
        <v>1586</v>
      </c>
      <c r="P2045" s="514" t="s">
        <v>1586</v>
      </c>
      <c r="Q2045" s="513" t="s">
        <v>1586</v>
      </c>
      <c r="R2045" s="512"/>
      <c r="W2045" s="253"/>
    </row>
    <row r="2046" spans="6:23" ht="20.25" customHeight="1">
      <c r="H2046" s="296" t="s">
        <v>2105</v>
      </c>
      <c r="M2046" s="512"/>
      <c r="N2046" s="512"/>
      <c r="O2046" s="512"/>
      <c r="P2046" s="512"/>
      <c r="Q2046" s="513"/>
      <c r="R2046" s="512"/>
      <c r="W2046" s="253"/>
    </row>
    <row r="2047" spans="6:23" ht="20.25" customHeight="1">
      <c r="H2047" s="296" t="s">
        <v>199</v>
      </c>
      <c r="M2047" s="512"/>
      <c r="N2047" s="512"/>
      <c r="O2047" s="515" t="s">
        <v>5161</v>
      </c>
      <c r="P2047" s="512">
        <f>3.93*2.1</f>
        <v>8.25</v>
      </c>
      <c r="Q2047" s="513" t="s">
        <v>2151</v>
      </c>
      <c r="R2047" s="512"/>
      <c r="W2047" s="253"/>
    </row>
    <row r="2048" spans="6:23" ht="20.25" customHeight="1">
      <c r="H2048" s="358" t="s">
        <v>1586</v>
      </c>
      <c r="M2048" s="512"/>
      <c r="N2048" s="512"/>
      <c r="O2048" s="513" t="s">
        <v>5162</v>
      </c>
      <c r="P2048" s="512"/>
      <c r="Q2048" s="513"/>
      <c r="R2048" s="512"/>
      <c r="W2048" s="253"/>
    </row>
    <row r="2049" spans="6:23" ht="20.25" customHeight="1">
      <c r="F2049" s="252">
        <v>3</v>
      </c>
      <c r="G2049" s="252" t="s">
        <v>1771</v>
      </c>
      <c r="H2049" s="296" t="s">
        <v>2106</v>
      </c>
      <c r="I2049" s="420">
        <f>(C620)</f>
        <v>193.05</v>
      </c>
      <c r="J2049" s="296" t="s">
        <v>1771</v>
      </c>
      <c r="K2049" s="252">
        <f t="shared" ref="K2049:K2055" si="240">(F2049*I2049)</f>
        <v>579.15</v>
      </c>
      <c r="M2049" s="512"/>
      <c r="N2049" s="512"/>
      <c r="O2049" s="513" t="s">
        <v>5163</v>
      </c>
      <c r="P2049" s="516">
        <f>1*7*2.1*0.075*0.0375</f>
        <v>4.1000000000000002E-2</v>
      </c>
      <c r="Q2049" s="513"/>
      <c r="R2049" s="512"/>
      <c r="W2049" s="253"/>
    </row>
    <row r="2050" spans="6:23" ht="20.25" customHeight="1">
      <c r="F2050" s="252">
        <v>1</v>
      </c>
      <c r="G2050" s="252" t="s">
        <v>769</v>
      </c>
      <c r="H2050" s="296" t="s">
        <v>670</v>
      </c>
      <c r="I2050" s="314">
        <v>76</v>
      </c>
      <c r="J2050" s="296" t="s">
        <v>1716</v>
      </c>
      <c r="K2050" s="252">
        <f t="shared" si="240"/>
        <v>76</v>
      </c>
      <c r="M2050" s="512"/>
      <c r="N2050" s="512"/>
      <c r="O2050" s="513" t="s">
        <v>5164</v>
      </c>
      <c r="P2050" s="516">
        <f>5*3.93*0.075*0.0375</f>
        <v>5.5E-2</v>
      </c>
      <c r="Q2050" s="513"/>
      <c r="R2050" s="512"/>
      <c r="W2050" s="253"/>
    </row>
    <row r="2051" spans="6:23" ht="20.25" customHeight="1">
      <c r="F2051" s="252">
        <v>1</v>
      </c>
      <c r="G2051" s="252" t="s">
        <v>769</v>
      </c>
      <c r="H2051" s="296" t="s">
        <v>671</v>
      </c>
      <c r="I2051" s="252">
        <f>C648</f>
        <v>82.3</v>
      </c>
      <c r="J2051" s="296" t="s">
        <v>1716</v>
      </c>
      <c r="K2051" s="252">
        <f t="shared" si="240"/>
        <v>82.3</v>
      </c>
      <c r="M2051" s="512"/>
      <c r="N2051" s="512"/>
      <c r="O2051" s="513"/>
      <c r="P2051" s="517">
        <f>SUM(P2049:P2050)</f>
        <v>9.6000000000000002E-2</v>
      </c>
      <c r="Q2051" s="513" t="s">
        <v>2151</v>
      </c>
      <c r="R2051" s="512"/>
      <c r="W2051" s="253"/>
    </row>
    <row r="2052" spans="6:23" ht="20.25" customHeight="1">
      <c r="F2052" s="252">
        <v>1</v>
      </c>
      <c r="G2052" s="252" t="s">
        <v>769</v>
      </c>
      <c r="H2052" s="296" t="s">
        <v>4129</v>
      </c>
      <c r="I2052" s="252">
        <f>C645</f>
        <v>187.8</v>
      </c>
      <c r="J2052" s="296" t="s">
        <v>1716</v>
      </c>
      <c r="K2052" s="252">
        <f t="shared" si="240"/>
        <v>187.8</v>
      </c>
      <c r="M2052" s="512"/>
      <c r="N2052" s="512"/>
      <c r="O2052" s="513" t="s">
        <v>5165</v>
      </c>
      <c r="P2052" s="512"/>
      <c r="Q2052" s="513"/>
      <c r="R2052" s="512"/>
      <c r="W2052" s="253"/>
    </row>
    <row r="2053" spans="6:23" ht="20.25" customHeight="1">
      <c r="F2053" s="252">
        <v>0.5</v>
      </c>
      <c r="G2053" s="252" t="s">
        <v>868</v>
      </c>
      <c r="H2053" s="296" t="s">
        <v>2103</v>
      </c>
      <c r="I2053" s="252">
        <f>(C15)</f>
        <v>866</v>
      </c>
      <c r="J2053" s="296" t="s">
        <v>1716</v>
      </c>
      <c r="K2053" s="252">
        <f t="shared" si="240"/>
        <v>433</v>
      </c>
      <c r="M2053" s="512"/>
      <c r="N2053" s="512"/>
      <c r="O2053" s="513" t="s">
        <v>5166</v>
      </c>
      <c r="P2053" s="512"/>
      <c r="Q2053" s="513"/>
      <c r="R2053" s="512"/>
      <c r="W2053" s="253"/>
    </row>
    <row r="2054" spans="6:23" ht="20.25" customHeight="1">
      <c r="F2054" s="252">
        <v>0.5</v>
      </c>
      <c r="G2054" s="252" t="s">
        <v>868</v>
      </c>
      <c r="H2054" s="296" t="s">
        <v>1712</v>
      </c>
      <c r="I2054" s="252">
        <f>(C11)</f>
        <v>932</v>
      </c>
      <c r="J2054" s="296" t="s">
        <v>1716</v>
      </c>
      <c r="K2054" s="252">
        <f t="shared" si="240"/>
        <v>466</v>
      </c>
      <c r="M2054" s="512"/>
      <c r="N2054" s="512"/>
      <c r="O2054" s="513" t="s">
        <v>5167</v>
      </c>
      <c r="P2054" s="516">
        <f>2*18*0.6*0.075*0.0375</f>
        <v>6.0999999999999999E-2</v>
      </c>
      <c r="Q2054" s="513"/>
      <c r="R2054" s="512"/>
      <c r="W2054" s="253"/>
    </row>
    <row r="2055" spans="6:23" ht="20.25" customHeight="1">
      <c r="F2055" s="252">
        <v>0.5</v>
      </c>
      <c r="G2055" s="252" t="s">
        <v>868</v>
      </c>
      <c r="H2055" s="296" t="s">
        <v>1902</v>
      </c>
      <c r="I2055" s="252">
        <f>(C12)</f>
        <v>651</v>
      </c>
      <c r="J2055" s="296" t="s">
        <v>1716</v>
      </c>
      <c r="K2055" s="252">
        <f t="shared" si="240"/>
        <v>325.5</v>
      </c>
      <c r="M2055" s="512"/>
      <c r="N2055" s="512"/>
      <c r="O2055" s="513" t="s">
        <v>5168</v>
      </c>
      <c r="P2055" s="516">
        <f>2*18*0.69*0.075*0.0375</f>
        <v>7.0000000000000007E-2</v>
      </c>
      <c r="Q2055" s="513"/>
      <c r="R2055" s="512"/>
      <c r="W2055" s="253"/>
    </row>
    <row r="2056" spans="6:23" ht="20.25" customHeight="1">
      <c r="G2056" s="252" t="s">
        <v>449</v>
      </c>
      <c r="H2056" s="296" t="s">
        <v>1523</v>
      </c>
      <c r="I2056" s="420">
        <v>2.79</v>
      </c>
      <c r="J2056" s="296" t="s">
        <v>449</v>
      </c>
      <c r="K2056" s="252">
        <v>2.79</v>
      </c>
      <c r="M2056" s="512"/>
      <c r="N2056" s="512"/>
      <c r="O2056" s="513"/>
      <c r="P2056" s="517">
        <f>SUM(P2054:P2055)</f>
        <v>0.13100000000000001</v>
      </c>
      <c r="Q2056" s="513"/>
      <c r="R2056" s="512"/>
      <c r="W2056" s="253"/>
    </row>
    <row r="2057" spans="6:23" ht="20.25" customHeight="1">
      <c r="H2057" s="296" t="s">
        <v>83</v>
      </c>
      <c r="M2057" s="512"/>
      <c r="N2057" s="512"/>
      <c r="O2057" s="513" t="s">
        <v>5169</v>
      </c>
      <c r="P2057" s="512"/>
      <c r="Q2057" s="513"/>
      <c r="R2057" s="512"/>
      <c r="W2057" s="253"/>
    </row>
    <row r="2058" spans="6:23" ht="20.25" customHeight="1">
      <c r="H2058" s="296" t="s">
        <v>190</v>
      </c>
      <c r="M2058" s="512"/>
      <c r="N2058" s="512"/>
      <c r="O2058" s="513" t="s">
        <v>5170</v>
      </c>
      <c r="P2058" s="516">
        <f>2*6*0.66*0.075*0.0375</f>
        <v>2.1999999999999999E-2</v>
      </c>
      <c r="Q2058" s="513"/>
      <c r="R2058" s="512"/>
      <c r="W2058" s="253"/>
    </row>
    <row r="2059" spans="6:23" ht="20.25" customHeight="1">
      <c r="H2059" s="296" t="s">
        <v>734</v>
      </c>
      <c r="J2059" s="296" t="s">
        <v>449</v>
      </c>
      <c r="K2059" s="252">
        <v>0.12</v>
      </c>
      <c r="M2059" s="512"/>
      <c r="N2059" s="512"/>
      <c r="O2059" s="513" t="s">
        <v>5171</v>
      </c>
      <c r="P2059" s="516">
        <f>2*6*0.69*0.075*0.0375</f>
        <v>2.3E-2</v>
      </c>
      <c r="Q2059" s="513"/>
      <c r="R2059" s="512"/>
      <c r="W2059" s="253"/>
    </row>
    <row r="2060" spans="6:23" ht="20.25" customHeight="1">
      <c r="K2060" s="358" t="s">
        <v>1586</v>
      </c>
      <c r="M2060" s="512"/>
      <c r="N2060" s="512"/>
      <c r="O2060" s="513"/>
      <c r="P2060" s="517">
        <f>SUM(P2058:P2059)</f>
        <v>4.4999999999999998E-2</v>
      </c>
      <c r="Q2060" s="513"/>
      <c r="R2060" s="512"/>
      <c r="W2060" s="253"/>
    </row>
    <row r="2061" spans="6:23" ht="20.25" customHeight="1">
      <c r="H2061" s="296" t="s">
        <v>1317</v>
      </c>
      <c r="K2061" s="252">
        <f>SUM(K2049:K2059)</f>
        <v>2152.66</v>
      </c>
      <c r="M2061" s="512"/>
      <c r="N2061" s="512"/>
      <c r="O2061" s="513"/>
      <c r="P2061" s="517">
        <f>P2056+P2060</f>
        <v>0.17599999999999999</v>
      </c>
      <c r="Q2061" s="513" t="s">
        <v>2151</v>
      </c>
      <c r="R2061" s="516">
        <f>P2061+P2051</f>
        <v>0.27200000000000002</v>
      </c>
      <c r="W2061" s="253"/>
    </row>
    <row r="2062" spans="6:23" ht="20.25" customHeight="1">
      <c r="K2062" s="358" t="s">
        <v>1586</v>
      </c>
      <c r="M2062" s="512"/>
      <c r="N2062" s="512"/>
      <c r="O2062" s="513" t="s">
        <v>5172</v>
      </c>
      <c r="P2062" s="512"/>
      <c r="Q2062" s="513"/>
      <c r="R2062" s="512"/>
      <c r="W2062" s="253"/>
    </row>
    <row r="2063" spans="6:23" ht="20.25" customHeight="1">
      <c r="H2063" s="296" t="s">
        <v>1545</v>
      </c>
      <c r="K2063" s="252">
        <f>(K2061/3)</f>
        <v>717.55</v>
      </c>
      <c r="M2063" s="512"/>
      <c r="N2063" s="512"/>
      <c r="O2063" s="513" t="s">
        <v>5173</v>
      </c>
      <c r="P2063" s="512">
        <f>1*18*0.54*0.45</f>
        <v>4.37</v>
      </c>
      <c r="Q2063" s="513"/>
      <c r="R2063" s="512"/>
      <c r="W2063" s="253"/>
    </row>
    <row r="2064" spans="6:23" ht="20.25" customHeight="1">
      <c r="K2064" s="358" t="s">
        <v>1586</v>
      </c>
      <c r="M2064" s="512"/>
      <c r="N2064" s="512"/>
      <c r="O2064" s="513" t="s">
        <v>5174</v>
      </c>
      <c r="P2064" s="512">
        <f>1*6*0.54*0.51</f>
        <v>1.65</v>
      </c>
      <c r="Q2064" s="513"/>
      <c r="R2064" s="512"/>
      <c r="W2064" s="253"/>
    </row>
    <row r="2065" spans="6:23" ht="20.25" customHeight="1">
      <c r="F2065" s="253" t="s">
        <v>735</v>
      </c>
      <c r="G2065" s="252" t="s">
        <v>284</v>
      </c>
      <c r="H2065" s="296" t="s">
        <v>736</v>
      </c>
      <c r="M2065" s="512"/>
      <c r="N2065" s="512"/>
      <c r="O2065" s="513"/>
      <c r="P2065" s="461">
        <f>SUM(P2063:P2064)</f>
        <v>6.02</v>
      </c>
      <c r="Q2065" s="513" t="s">
        <v>2283</v>
      </c>
      <c r="R2065" s="512"/>
      <c r="W2065" s="253"/>
    </row>
    <row r="2066" spans="6:23" ht="20.25" customHeight="1">
      <c r="H2066" s="296" t="s">
        <v>6131</v>
      </c>
      <c r="M2066" s="512"/>
      <c r="N2066" s="512"/>
      <c r="O2066" s="513"/>
      <c r="P2066" s="512"/>
      <c r="Q2066" s="513"/>
      <c r="R2066" s="512"/>
      <c r="W2066" s="253"/>
    </row>
    <row r="2067" spans="6:23" ht="20.25" customHeight="1">
      <c r="H2067" s="296" t="s">
        <v>946</v>
      </c>
      <c r="M2067" s="512"/>
      <c r="N2067" s="512"/>
      <c r="O2067" s="513" t="s">
        <v>5175</v>
      </c>
      <c r="P2067" s="512">
        <f>3.78*1.95</f>
        <v>7.37</v>
      </c>
      <c r="Q2067" s="513" t="s">
        <v>2283</v>
      </c>
      <c r="R2067" s="518" t="s">
        <v>975</v>
      </c>
      <c r="W2067" s="253"/>
    </row>
    <row r="2068" spans="6:23" ht="20.25" customHeight="1">
      <c r="H2068" s="296" t="s">
        <v>737</v>
      </c>
      <c r="M2068" s="512"/>
      <c r="N2068" s="512"/>
      <c r="O2068" s="513"/>
      <c r="P2068" s="512"/>
      <c r="Q2068" s="513"/>
      <c r="R2068" s="518"/>
      <c r="W2068" s="253"/>
    </row>
    <row r="2069" spans="6:23" ht="20.25" customHeight="1">
      <c r="H2069" s="296" t="s">
        <v>541</v>
      </c>
      <c r="M2069" s="512"/>
      <c r="N2069" s="512"/>
      <c r="O2069" s="513" t="s">
        <v>5176</v>
      </c>
      <c r="P2069" s="512">
        <f>18*2</f>
        <v>36</v>
      </c>
      <c r="Q2069" s="513" t="s">
        <v>1394</v>
      </c>
      <c r="R2069" s="518"/>
      <c r="W2069" s="253"/>
    </row>
    <row r="2070" spans="6:23" ht="20.25" customHeight="1">
      <c r="H2070" s="296" t="s">
        <v>2105</v>
      </c>
      <c r="M2070" s="512"/>
      <c r="N2070" s="512"/>
      <c r="O2070" s="513" t="s">
        <v>5177</v>
      </c>
      <c r="P2070" s="512">
        <f>18*1</f>
        <v>18</v>
      </c>
      <c r="Q2070" s="513" t="s">
        <v>1394</v>
      </c>
      <c r="R2070" s="518"/>
      <c r="W2070" s="253"/>
    </row>
    <row r="2071" spans="6:23" ht="20.25" customHeight="1">
      <c r="H2071" s="296" t="s">
        <v>199</v>
      </c>
      <c r="M2071" s="512"/>
      <c r="N2071" s="512"/>
      <c r="O2071" s="512" t="s">
        <v>4234</v>
      </c>
      <c r="P2071" s="512">
        <f>18*1</f>
        <v>18</v>
      </c>
      <c r="Q2071" s="513" t="s">
        <v>1394</v>
      </c>
      <c r="R2071" s="518"/>
      <c r="W2071" s="253"/>
    </row>
    <row r="2072" spans="6:23" ht="20.25" customHeight="1">
      <c r="H2072" s="358" t="s">
        <v>1586</v>
      </c>
      <c r="M2072" s="512"/>
      <c r="N2072" s="512"/>
      <c r="O2072" s="513" t="s">
        <v>5178</v>
      </c>
      <c r="P2072" s="512">
        <f>3.93*2.6*2.1</f>
        <v>21.46</v>
      </c>
      <c r="Q2072" s="513" t="s">
        <v>2283</v>
      </c>
      <c r="R2072" s="518"/>
      <c r="W2072" s="253"/>
    </row>
    <row r="2073" spans="6:23" ht="20.25" customHeight="1">
      <c r="F2073" s="252">
        <v>3</v>
      </c>
      <c r="G2073" s="252" t="s">
        <v>1771</v>
      </c>
      <c r="H2073" s="296" t="s">
        <v>1003</v>
      </c>
      <c r="I2073" s="314">
        <f>C621</f>
        <v>115.85</v>
      </c>
      <c r="J2073" s="296" t="s">
        <v>1771</v>
      </c>
      <c r="K2073" s="252">
        <f t="shared" ref="K2073:K2079" si="241">(F2073*I2073)</f>
        <v>347.55</v>
      </c>
      <c r="M2073" s="512"/>
      <c r="N2073" s="512"/>
      <c r="O2073" s="512"/>
      <c r="P2073" s="512"/>
      <c r="Q2073" s="513"/>
      <c r="R2073" s="512"/>
      <c r="W2073" s="253"/>
    </row>
    <row r="2074" spans="6:23" ht="20.25" customHeight="1">
      <c r="F2074" s="252">
        <v>1</v>
      </c>
      <c r="G2074" s="252" t="s">
        <v>769</v>
      </c>
      <c r="H2074" s="296" t="s">
        <v>1004</v>
      </c>
      <c r="I2074" s="314">
        <f>C624</f>
        <v>45</v>
      </c>
      <c r="J2074" s="296" t="s">
        <v>1716</v>
      </c>
      <c r="K2074" s="252">
        <f t="shared" si="241"/>
        <v>45</v>
      </c>
      <c r="M2074" s="519">
        <f>P2051</f>
        <v>9.6000000000000002E-2</v>
      </c>
      <c r="N2074" s="512" t="s">
        <v>869</v>
      </c>
      <c r="O2074" s="513" t="s">
        <v>692</v>
      </c>
      <c r="P2074" s="512">
        <f>I3100</f>
        <v>111600</v>
      </c>
      <c r="Q2074" s="513" t="s">
        <v>869</v>
      </c>
      <c r="R2074" s="512">
        <f t="shared" ref="R2074:R2083" si="242">(M2074*P2074)</f>
        <v>10713.6</v>
      </c>
      <c r="W2074" s="253"/>
    </row>
    <row r="2075" spans="6:23" ht="20.25" customHeight="1">
      <c r="F2075" s="252">
        <v>1</v>
      </c>
      <c r="G2075" s="252" t="s">
        <v>769</v>
      </c>
      <c r="H2075" s="296" t="s">
        <v>1005</v>
      </c>
      <c r="I2075" s="252">
        <f>C649</f>
        <v>55.5</v>
      </c>
      <c r="J2075" s="296" t="s">
        <v>1716</v>
      </c>
      <c r="K2075" s="252">
        <f t="shared" si="241"/>
        <v>55.5</v>
      </c>
      <c r="M2075" s="519">
        <f>P2061</f>
        <v>0.17599999999999999</v>
      </c>
      <c r="N2075" s="512" t="s">
        <v>869</v>
      </c>
      <c r="O2075" s="513" t="s">
        <v>693</v>
      </c>
      <c r="P2075" s="512">
        <f t="shared" ref="P2075:P2083" si="243">I3101</f>
        <v>99400</v>
      </c>
      <c r="Q2075" s="513" t="s">
        <v>869</v>
      </c>
      <c r="R2075" s="512">
        <f t="shared" si="242"/>
        <v>17494.400000000001</v>
      </c>
      <c r="W2075" s="253"/>
    </row>
    <row r="2076" spans="6:23" ht="20.25" customHeight="1">
      <c r="F2076" s="252">
        <v>1</v>
      </c>
      <c r="G2076" s="252" t="s">
        <v>769</v>
      </c>
      <c r="H2076" s="296" t="s">
        <v>84</v>
      </c>
      <c r="I2076" s="252">
        <f>C646</f>
        <v>125.2</v>
      </c>
      <c r="J2076" s="296" t="s">
        <v>1716</v>
      </c>
      <c r="K2076" s="252">
        <f t="shared" si="241"/>
        <v>125.2</v>
      </c>
      <c r="M2076" s="519">
        <f>SUM(M2074:M2075)</f>
        <v>0.27200000000000002</v>
      </c>
      <c r="N2076" s="512" t="s">
        <v>869</v>
      </c>
      <c r="O2076" s="513" t="s">
        <v>886</v>
      </c>
      <c r="P2076" s="512">
        <f t="shared" si="243"/>
        <v>13690</v>
      </c>
      <c r="Q2076" s="513" t="s">
        <v>869</v>
      </c>
      <c r="R2076" s="512">
        <f t="shared" si="242"/>
        <v>3723.68</v>
      </c>
      <c r="W2076" s="253"/>
    </row>
    <row r="2077" spans="6:23" ht="20.25" customHeight="1">
      <c r="F2077" s="252">
        <v>0.5</v>
      </c>
      <c r="G2077" s="252" t="s">
        <v>868</v>
      </c>
      <c r="H2077" s="296" t="s">
        <v>2103</v>
      </c>
      <c r="I2077" s="252">
        <f>(C15)</f>
        <v>866</v>
      </c>
      <c r="J2077" s="296" t="s">
        <v>1716</v>
      </c>
      <c r="K2077" s="252">
        <f t="shared" si="241"/>
        <v>433</v>
      </c>
      <c r="M2077" s="519">
        <f>P2065</f>
        <v>6.02</v>
      </c>
      <c r="N2077" s="512" t="s">
        <v>609</v>
      </c>
      <c r="O2077" s="513" t="s">
        <v>5179</v>
      </c>
      <c r="P2077" s="512">
        <f t="shared" si="243"/>
        <v>387.4</v>
      </c>
      <c r="Q2077" s="513" t="s">
        <v>609</v>
      </c>
      <c r="R2077" s="512">
        <f t="shared" si="242"/>
        <v>2332.15</v>
      </c>
      <c r="W2077" s="253"/>
    </row>
    <row r="2078" spans="6:23" ht="20.25" customHeight="1">
      <c r="F2078" s="252">
        <v>0.5</v>
      </c>
      <c r="G2078" s="252" t="s">
        <v>868</v>
      </c>
      <c r="H2078" s="296" t="s">
        <v>1712</v>
      </c>
      <c r="I2078" s="252">
        <f>(C11)</f>
        <v>932</v>
      </c>
      <c r="J2078" s="296" t="s">
        <v>1716</v>
      </c>
      <c r="K2078" s="252">
        <f t="shared" si="241"/>
        <v>466</v>
      </c>
      <c r="M2078" s="519">
        <f>P2067</f>
        <v>7.37</v>
      </c>
      <c r="N2078" s="512" t="s">
        <v>609</v>
      </c>
      <c r="O2078" s="513" t="s">
        <v>1506</v>
      </c>
      <c r="P2078" s="512">
        <f t="shared" si="243"/>
        <v>1281</v>
      </c>
      <c r="Q2078" s="513" t="s">
        <v>609</v>
      </c>
      <c r="R2078" s="512">
        <f t="shared" si="242"/>
        <v>9440.9699999999993</v>
      </c>
      <c r="W2078" s="253"/>
    </row>
    <row r="2079" spans="6:23" ht="20.25" customHeight="1">
      <c r="F2079" s="252">
        <v>0.5</v>
      </c>
      <c r="G2079" s="252" t="s">
        <v>868</v>
      </c>
      <c r="H2079" s="296" t="s">
        <v>1902</v>
      </c>
      <c r="I2079" s="252">
        <f>(C12)</f>
        <v>651</v>
      </c>
      <c r="J2079" s="296" t="s">
        <v>1716</v>
      </c>
      <c r="K2079" s="252">
        <f t="shared" si="241"/>
        <v>325.5</v>
      </c>
      <c r="M2079" s="512">
        <f>P2069</f>
        <v>36</v>
      </c>
      <c r="N2079" s="512" t="s">
        <v>868</v>
      </c>
      <c r="O2079" s="513" t="s">
        <v>1343</v>
      </c>
      <c r="P2079" s="512">
        <f t="shared" si="243"/>
        <v>57</v>
      </c>
      <c r="Q2079" s="513" t="s">
        <v>868</v>
      </c>
      <c r="R2079" s="512">
        <f t="shared" si="242"/>
        <v>2052</v>
      </c>
      <c r="W2079" s="253"/>
    </row>
    <row r="2080" spans="6:23" ht="20.25" customHeight="1">
      <c r="G2080" s="252" t="s">
        <v>449</v>
      </c>
      <c r="H2080" s="296" t="s">
        <v>1523</v>
      </c>
      <c r="I2080" s="296" t="s">
        <v>975</v>
      </c>
      <c r="J2080" s="296" t="s">
        <v>449</v>
      </c>
      <c r="K2080" s="252">
        <v>2.73</v>
      </c>
      <c r="M2080" s="512">
        <f>P2070</f>
        <v>18</v>
      </c>
      <c r="N2080" s="512" t="s">
        <v>868</v>
      </c>
      <c r="O2080" s="513" t="s">
        <v>4596</v>
      </c>
      <c r="P2080" s="512">
        <f t="shared" si="243"/>
        <v>49.35</v>
      </c>
      <c r="Q2080" s="513" t="s">
        <v>868</v>
      </c>
      <c r="R2080" s="512">
        <f t="shared" si="242"/>
        <v>888.3</v>
      </c>
      <c r="W2080" s="253"/>
    </row>
    <row r="2081" spans="6:23" ht="20.25" customHeight="1">
      <c r="H2081" s="296" t="s">
        <v>83</v>
      </c>
      <c r="M2081" s="512">
        <f>P2071</f>
        <v>18</v>
      </c>
      <c r="N2081" s="512" t="s">
        <v>868</v>
      </c>
      <c r="O2081" s="512" t="s">
        <v>5180</v>
      </c>
      <c r="P2081" s="512">
        <f t="shared" si="243"/>
        <v>60.9</v>
      </c>
      <c r="Q2081" s="513" t="s">
        <v>868</v>
      </c>
      <c r="R2081" s="512">
        <f t="shared" si="242"/>
        <v>1096.2</v>
      </c>
      <c r="W2081" s="253"/>
    </row>
    <row r="2082" spans="6:23" ht="20.25" customHeight="1">
      <c r="H2082" s="296" t="s">
        <v>190</v>
      </c>
      <c r="M2082" s="512">
        <f>P2072</f>
        <v>21.46</v>
      </c>
      <c r="N2082" s="512" t="s">
        <v>609</v>
      </c>
      <c r="O2082" s="513" t="s">
        <v>5181</v>
      </c>
      <c r="P2082" s="512">
        <f t="shared" si="243"/>
        <v>63.2</v>
      </c>
      <c r="Q2082" s="513" t="s">
        <v>609</v>
      </c>
      <c r="R2082" s="512">
        <f t="shared" si="242"/>
        <v>1356.27</v>
      </c>
      <c r="W2082" s="253"/>
    </row>
    <row r="2083" spans="6:23" ht="20.25" customHeight="1">
      <c r="H2083" s="296" t="s">
        <v>734</v>
      </c>
      <c r="J2083" s="296" t="s">
        <v>449</v>
      </c>
      <c r="K2083" s="252">
        <v>0.27</v>
      </c>
      <c r="M2083" s="512">
        <v>50</v>
      </c>
      <c r="N2083" s="512" t="s">
        <v>1432</v>
      </c>
      <c r="O2083" s="513" t="s">
        <v>1414</v>
      </c>
      <c r="P2083" s="512">
        <f t="shared" si="243"/>
        <v>233.74</v>
      </c>
      <c r="Q2083" s="513" t="s">
        <v>868</v>
      </c>
      <c r="R2083" s="512">
        <f t="shared" si="242"/>
        <v>11687</v>
      </c>
      <c r="W2083" s="253"/>
    </row>
    <row r="2084" spans="6:23" ht="20.25" customHeight="1">
      <c r="K2084" s="358" t="s">
        <v>1586</v>
      </c>
      <c r="M2084" s="512"/>
      <c r="N2084" s="512"/>
      <c r="O2084" s="512"/>
      <c r="P2084" s="512"/>
      <c r="Q2084" s="513"/>
      <c r="R2084" s="514" t="s">
        <v>1586</v>
      </c>
      <c r="W2084" s="253"/>
    </row>
    <row r="2085" spans="6:23" ht="20.25" customHeight="1">
      <c r="H2085" s="296" t="s">
        <v>1317</v>
      </c>
      <c r="K2085" s="252">
        <f>SUM(K2073:K2083)</f>
        <v>1800.75</v>
      </c>
      <c r="M2085" s="512"/>
      <c r="N2085" s="512"/>
      <c r="O2085" s="520" t="s">
        <v>1415</v>
      </c>
      <c r="P2085" s="512"/>
      <c r="Q2085" s="513"/>
      <c r="R2085" s="512">
        <f>SUM(R2074:R2083)</f>
        <v>60784.57</v>
      </c>
      <c r="W2085" s="253"/>
    </row>
    <row r="2086" spans="6:23" ht="20.25" customHeight="1">
      <c r="K2086" s="358" t="s">
        <v>1586</v>
      </c>
      <c r="M2086" s="512"/>
      <c r="N2086" s="512" t="s">
        <v>975</v>
      </c>
      <c r="O2086" s="512"/>
      <c r="P2086" s="512"/>
      <c r="Q2086" s="513"/>
      <c r="R2086" s="514" t="s">
        <v>1586</v>
      </c>
      <c r="W2086" s="253"/>
    </row>
    <row r="2087" spans="6:23" ht="20.25" customHeight="1">
      <c r="H2087" s="296" t="s">
        <v>1545</v>
      </c>
      <c r="K2087" s="252">
        <f>(K2085/3)</f>
        <v>600.25</v>
      </c>
      <c r="M2087" s="512"/>
      <c r="N2087" s="512"/>
      <c r="O2087" s="469" t="s">
        <v>552</v>
      </c>
      <c r="P2087" s="512"/>
      <c r="Q2087" s="513"/>
      <c r="R2087" s="461">
        <f>R2085/P2047</f>
        <v>7367.83</v>
      </c>
      <c r="W2087" s="253"/>
    </row>
    <row r="2088" spans="6:23" ht="20.25" customHeight="1">
      <c r="K2088" s="358" t="s">
        <v>1586</v>
      </c>
      <c r="M2088" s="512"/>
      <c r="N2088" s="512"/>
      <c r="O2088" s="512"/>
      <c r="P2088" s="512"/>
      <c r="Q2088" s="513"/>
      <c r="R2088" s="514" t="s">
        <v>2055</v>
      </c>
      <c r="W2088" s="253"/>
    </row>
    <row r="2089" spans="6:23" ht="20.25" customHeight="1">
      <c r="F2089" s="253" t="s">
        <v>85</v>
      </c>
      <c r="H2089" s="296" t="s">
        <v>206</v>
      </c>
      <c r="M2089" s="512"/>
      <c r="N2089" s="512"/>
      <c r="O2089" s="512"/>
      <c r="P2089" s="512"/>
      <c r="Q2089" s="512"/>
      <c r="R2089" s="512"/>
      <c r="W2089" s="253"/>
    </row>
    <row r="2090" spans="6:23" ht="20.25" customHeight="1">
      <c r="H2090" s="296" t="s">
        <v>1819</v>
      </c>
      <c r="W2090" s="253"/>
    </row>
    <row r="2091" spans="6:23" ht="20.25" customHeight="1">
      <c r="F2091" s="296" t="s">
        <v>975</v>
      </c>
      <c r="H2091" s="296" t="s">
        <v>2195</v>
      </c>
      <c r="W2091" s="253"/>
    </row>
    <row r="2092" spans="6:23" ht="20.25" customHeight="1">
      <c r="H2092" s="358" t="s">
        <v>1586</v>
      </c>
      <c r="M2092" s="268"/>
      <c r="N2092" s="268"/>
      <c r="O2092" s="268" t="s">
        <v>5182</v>
      </c>
      <c r="P2092" s="268"/>
      <c r="Q2092" s="268"/>
      <c r="R2092" s="268"/>
      <c r="W2092" s="253"/>
    </row>
    <row r="2093" spans="6:23" ht="20.25" customHeight="1">
      <c r="F2093" s="252">
        <v>3</v>
      </c>
      <c r="G2093" s="252" t="s">
        <v>2196</v>
      </c>
      <c r="H2093" s="296" t="s">
        <v>2197</v>
      </c>
      <c r="I2093" s="314">
        <f>D620</f>
        <v>120.54</v>
      </c>
      <c r="J2093" s="296" t="s">
        <v>2196</v>
      </c>
      <c r="K2093" s="252">
        <f>(F2093*I2093)</f>
        <v>361.62</v>
      </c>
      <c r="M2093" s="521">
        <v>8.5000000000000006E-2</v>
      </c>
      <c r="N2093" s="268" t="s">
        <v>2151</v>
      </c>
      <c r="O2093" s="268" t="s">
        <v>5183</v>
      </c>
      <c r="P2093" s="268">
        <f>Z718</f>
        <v>7917.08</v>
      </c>
      <c r="Q2093" s="268" t="s">
        <v>1398</v>
      </c>
      <c r="R2093" s="268">
        <f>M2093*P2093</f>
        <v>672.95</v>
      </c>
      <c r="W2093" s="253"/>
    </row>
    <row r="2094" spans="6:23" ht="20.25" customHeight="1">
      <c r="F2094" s="252">
        <v>1</v>
      </c>
      <c r="G2094" s="252" t="s">
        <v>1760</v>
      </c>
      <c r="H2094" s="296" t="s">
        <v>2198</v>
      </c>
      <c r="I2094" s="252">
        <f>C648</f>
        <v>82.3</v>
      </c>
      <c r="J2094" s="296" t="s">
        <v>1760</v>
      </c>
      <c r="K2094" s="252">
        <f>(F2094*I2094)</f>
        <v>82.3</v>
      </c>
      <c r="M2094" s="268">
        <v>8.5</v>
      </c>
      <c r="N2094" s="268" t="s">
        <v>1645</v>
      </c>
      <c r="O2094" s="268" t="s">
        <v>5184</v>
      </c>
      <c r="P2094" s="268">
        <f>K1608/1000</f>
        <v>88.87</v>
      </c>
      <c r="Q2094" s="268" t="s">
        <v>1645</v>
      </c>
      <c r="R2094" s="268">
        <f>M2094*P2094</f>
        <v>755.4</v>
      </c>
      <c r="W2094" s="253"/>
    </row>
    <row r="2095" spans="6:23" ht="20.25" customHeight="1">
      <c r="F2095" s="252">
        <v>1</v>
      </c>
      <c r="G2095" s="252" t="s">
        <v>1760</v>
      </c>
      <c r="H2095" s="296" t="s">
        <v>2199</v>
      </c>
      <c r="I2095" s="252">
        <v>8</v>
      </c>
      <c r="J2095" s="296" t="s">
        <v>1760</v>
      </c>
      <c r="K2095" s="252">
        <f>(F2095*I2095)</f>
        <v>8</v>
      </c>
      <c r="M2095" s="268"/>
      <c r="N2095" s="268"/>
      <c r="O2095" s="268" t="s">
        <v>2271</v>
      </c>
      <c r="P2095" s="268"/>
      <c r="Q2095" s="268"/>
      <c r="R2095" s="522" t="s">
        <v>1586</v>
      </c>
      <c r="W2095" s="253"/>
    </row>
    <row r="2096" spans="6:23" ht="20.25" customHeight="1">
      <c r="F2096" s="253" t="s">
        <v>733</v>
      </c>
      <c r="H2096" s="296" t="s">
        <v>2200</v>
      </c>
      <c r="I2096" s="253" t="s">
        <v>733</v>
      </c>
      <c r="K2096" s="252">
        <f>1.21+0.47+0.4</f>
        <v>2.08</v>
      </c>
      <c r="M2096" s="268"/>
      <c r="N2096" s="268"/>
      <c r="O2096" s="268"/>
      <c r="P2096" s="268"/>
      <c r="Q2096" s="268"/>
      <c r="R2096" s="268">
        <f>SUM(R2093:R2095)</f>
        <v>1428.35</v>
      </c>
      <c r="W2096" s="253"/>
    </row>
    <row r="2097" spans="6:23" ht="20.25" customHeight="1">
      <c r="K2097" s="358" t="s">
        <v>1586</v>
      </c>
      <c r="W2097" s="253"/>
    </row>
    <row r="2098" spans="6:23" ht="20.25" customHeight="1">
      <c r="H2098" s="296" t="s">
        <v>396</v>
      </c>
      <c r="K2098" s="252">
        <f>SUM(K2093:K2096)</f>
        <v>454</v>
      </c>
      <c r="M2098" s="268"/>
      <c r="N2098" s="268"/>
      <c r="O2098" s="268" t="s">
        <v>5182</v>
      </c>
      <c r="P2098" s="268"/>
      <c r="Q2098" s="268"/>
      <c r="R2098" s="268"/>
      <c r="W2098" s="253"/>
    </row>
    <row r="2099" spans="6:23" ht="20.25" customHeight="1">
      <c r="K2099" s="358" t="s">
        <v>1586</v>
      </c>
      <c r="M2099" s="521">
        <v>4.4999999999999998E-2</v>
      </c>
      <c r="N2099" s="268" t="s">
        <v>2151</v>
      </c>
      <c r="O2099" s="268" t="s">
        <v>5186</v>
      </c>
      <c r="P2099" s="268">
        <f>P2093</f>
        <v>7917.08</v>
      </c>
      <c r="Q2099" s="268" t="s">
        <v>1398</v>
      </c>
      <c r="R2099" s="268">
        <f>M2099*P2099</f>
        <v>356.27</v>
      </c>
      <c r="W2099" s="253"/>
    </row>
    <row r="2100" spans="6:23" ht="20.25" customHeight="1">
      <c r="M2100" s="268">
        <v>4.5</v>
      </c>
      <c r="N2100" s="268" t="s">
        <v>1645</v>
      </c>
      <c r="O2100" s="268" t="s">
        <v>5184</v>
      </c>
      <c r="P2100" s="268">
        <f>P2094</f>
        <v>88.87</v>
      </c>
      <c r="Q2100" s="268" t="s">
        <v>1645</v>
      </c>
      <c r="R2100" s="268">
        <f>M2100*P2100</f>
        <v>399.92</v>
      </c>
      <c r="W2100" s="253"/>
    </row>
    <row r="2101" spans="6:23" ht="20.25" customHeight="1">
      <c r="F2101" s="253" t="s">
        <v>397</v>
      </c>
      <c r="G2101" s="252" t="s">
        <v>2251</v>
      </c>
      <c r="H2101" s="296" t="s">
        <v>1133</v>
      </c>
      <c r="M2101" s="268"/>
      <c r="N2101" s="268"/>
      <c r="O2101" s="268" t="s">
        <v>2271</v>
      </c>
      <c r="P2101" s="268"/>
      <c r="Q2101" s="268"/>
      <c r="R2101" s="522" t="s">
        <v>1586</v>
      </c>
      <c r="W2101" s="253"/>
    </row>
    <row r="2102" spans="6:23" ht="20.25" customHeight="1">
      <c r="H2102" s="296" t="s">
        <v>294</v>
      </c>
      <c r="M2102" s="268"/>
      <c r="N2102" s="268"/>
      <c r="O2102" s="268"/>
      <c r="P2102" s="268"/>
      <c r="Q2102" s="268"/>
      <c r="R2102" s="268">
        <f>SUM(R2099:R2101)</f>
        <v>756.19</v>
      </c>
      <c r="W2102" s="253"/>
    </row>
    <row r="2103" spans="6:23" ht="20.25" customHeight="1">
      <c r="H2103" s="358" t="s">
        <v>1586</v>
      </c>
      <c r="W2103" s="253"/>
    </row>
    <row r="2104" spans="6:23" ht="20.25" customHeight="1">
      <c r="F2104" s="252">
        <v>1</v>
      </c>
      <c r="G2104" s="252" t="s">
        <v>868</v>
      </c>
      <c r="H2104" s="296" t="s">
        <v>294</v>
      </c>
      <c r="I2104" s="252">
        <f>(C266)</f>
        <v>170.35</v>
      </c>
      <c r="J2104" s="296" t="s">
        <v>868</v>
      </c>
      <c r="K2104" s="252">
        <f>(F2104*I2104)</f>
        <v>170.35</v>
      </c>
      <c r="W2104" s="253"/>
    </row>
    <row r="2105" spans="6:23" ht="20.25" customHeight="1">
      <c r="F2105" s="252">
        <v>0.05</v>
      </c>
      <c r="G2105" s="252" t="s">
        <v>869</v>
      </c>
      <c r="H2105" s="296" t="s">
        <v>1175</v>
      </c>
      <c r="I2105" s="252">
        <f>(R60)</f>
        <v>4047</v>
      </c>
      <c r="J2105" s="296" t="s">
        <v>869</v>
      </c>
      <c r="K2105" s="252">
        <f>(F2105*I2105)</f>
        <v>202.35</v>
      </c>
      <c r="M2105" s="268"/>
      <c r="N2105" s="268"/>
      <c r="O2105" s="268" t="s">
        <v>5185</v>
      </c>
      <c r="P2105" s="268"/>
      <c r="Q2105" s="268"/>
      <c r="R2105" s="268"/>
      <c r="W2105" s="253"/>
    </row>
    <row r="2106" spans="6:23" ht="20.25" customHeight="1">
      <c r="F2106" s="252">
        <v>0.5</v>
      </c>
      <c r="G2106" s="252" t="s">
        <v>868</v>
      </c>
      <c r="H2106" s="296" t="s">
        <v>2103</v>
      </c>
      <c r="I2106" s="252">
        <f>(C15)</f>
        <v>866</v>
      </c>
      <c r="J2106" s="296" t="s">
        <v>868</v>
      </c>
      <c r="K2106" s="252">
        <f>(F2106*I2106)</f>
        <v>433</v>
      </c>
      <c r="M2106" s="521">
        <v>8.5000000000000006E-2</v>
      </c>
      <c r="N2106" s="268" t="s">
        <v>2151</v>
      </c>
      <c r="O2106" s="268" t="s">
        <v>5183</v>
      </c>
      <c r="P2106" s="268">
        <f>Z718</f>
        <v>7917.08</v>
      </c>
      <c r="Q2106" s="268" t="s">
        <v>1398</v>
      </c>
      <c r="R2106" s="268">
        <f>M2106*P2106</f>
        <v>672.95</v>
      </c>
      <c r="W2106" s="253"/>
    </row>
    <row r="2107" spans="6:23" ht="20.25" customHeight="1">
      <c r="F2107" s="252">
        <v>1</v>
      </c>
      <c r="G2107" s="252" t="s">
        <v>868</v>
      </c>
      <c r="H2107" s="296" t="s">
        <v>1902</v>
      </c>
      <c r="I2107" s="252">
        <f>(C12)</f>
        <v>651</v>
      </c>
      <c r="J2107" s="296" t="s">
        <v>868</v>
      </c>
      <c r="K2107" s="252">
        <f>(F2107*I2107)</f>
        <v>651</v>
      </c>
      <c r="M2107" s="268">
        <v>8.5</v>
      </c>
      <c r="N2107" s="268" t="s">
        <v>1645</v>
      </c>
      <c r="O2107" s="268" t="s">
        <v>5184</v>
      </c>
      <c r="P2107" s="268">
        <f>P2100</f>
        <v>88.87</v>
      </c>
      <c r="Q2107" s="268" t="s">
        <v>1645</v>
      </c>
      <c r="R2107" s="268">
        <f>M2107*P2107</f>
        <v>755.4</v>
      </c>
      <c r="W2107" s="253"/>
    </row>
    <row r="2108" spans="6:23" ht="20.25" customHeight="1">
      <c r="F2108" s="252">
        <v>1</v>
      </c>
      <c r="G2108" s="252" t="s">
        <v>868</v>
      </c>
      <c r="H2108" s="296" t="s">
        <v>320</v>
      </c>
      <c r="I2108" s="252">
        <f>(C13)</f>
        <v>534</v>
      </c>
      <c r="J2108" s="296" t="s">
        <v>868</v>
      </c>
      <c r="K2108" s="252">
        <f>(F2108*I2108)</f>
        <v>534</v>
      </c>
      <c r="M2108" s="268"/>
      <c r="N2108" s="268"/>
      <c r="O2108" s="268" t="s">
        <v>2271</v>
      </c>
      <c r="P2108" s="268"/>
      <c r="Q2108" s="268"/>
      <c r="R2108" s="522" t="s">
        <v>1586</v>
      </c>
      <c r="W2108" s="253"/>
    </row>
    <row r="2109" spans="6:23" ht="20.25" customHeight="1">
      <c r="G2109" s="252" t="s">
        <v>449</v>
      </c>
      <c r="H2109" s="296" t="s">
        <v>450</v>
      </c>
      <c r="I2109" s="296" t="s">
        <v>975</v>
      </c>
      <c r="J2109" s="296" t="s">
        <v>449</v>
      </c>
      <c r="K2109" s="252">
        <v>0.54</v>
      </c>
      <c r="M2109" s="268"/>
      <c r="N2109" s="268"/>
      <c r="O2109" s="268"/>
      <c r="P2109" s="268"/>
      <c r="Q2109" s="268"/>
      <c r="R2109" s="268">
        <f>SUM(R2106:R2108)</f>
        <v>1428.35</v>
      </c>
      <c r="W2109" s="253"/>
    </row>
    <row r="2110" spans="6:23" ht="20.25" customHeight="1">
      <c r="H2110" s="296" t="s">
        <v>975</v>
      </c>
      <c r="K2110" s="358" t="s">
        <v>1586</v>
      </c>
      <c r="W2110" s="253"/>
    </row>
    <row r="2111" spans="6:23" ht="20.25" customHeight="1">
      <c r="H2111" s="296" t="s">
        <v>1751</v>
      </c>
      <c r="K2111" s="252">
        <f>SUM(K2104:K2109)</f>
        <v>1991.24</v>
      </c>
      <c r="W2111" s="253"/>
    </row>
    <row r="2112" spans="6:23" ht="20.25" customHeight="1">
      <c r="K2112" s="358" t="s">
        <v>2055</v>
      </c>
      <c r="M2112" s="268"/>
      <c r="N2112" s="268"/>
      <c r="O2112" s="268" t="s">
        <v>5185</v>
      </c>
      <c r="P2112" s="268"/>
      <c r="Q2112" s="268"/>
      <c r="R2112" s="268"/>
      <c r="W2112" s="253"/>
    </row>
    <row r="2113" spans="6:23" ht="20.25" customHeight="1">
      <c r="F2113" s="253" t="s">
        <v>1176</v>
      </c>
      <c r="G2113" s="252" t="s">
        <v>2251</v>
      </c>
      <c r="H2113" s="296" t="s">
        <v>2225</v>
      </c>
      <c r="M2113" s="521">
        <v>8.5000000000000006E-2</v>
      </c>
      <c r="N2113" s="268" t="s">
        <v>2151</v>
      </c>
      <c r="O2113" s="268" t="s">
        <v>5183</v>
      </c>
      <c r="P2113" s="268">
        <f>Z725</f>
        <v>0</v>
      </c>
      <c r="Q2113" s="268" t="s">
        <v>1398</v>
      </c>
      <c r="R2113" s="268">
        <f>M2113*P2113</f>
        <v>0</v>
      </c>
      <c r="W2113" s="253"/>
    </row>
    <row r="2114" spans="6:23" ht="20.25" customHeight="1">
      <c r="H2114" s="296" t="s">
        <v>2120</v>
      </c>
      <c r="M2114" s="268">
        <v>8.5</v>
      </c>
      <c r="N2114" s="268" t="s">
        <v>1645</v>
      </c>
      <c r="O2114" s="268" t="s">
        <v>5184</v>
      </c>
      <c r="P2114" s="268">
        <f>P2107</f>
        <v>88.87</v>
      </c>
      <c r="Q2114" s="268" t="s">
        <v>1645</v>
      </c>
      <c r="R2114" s="268">
        <f>M2114*P2114</f>
        <v>755.4</v>
      </c>
      <c r="W2114" s="253"/>
    </row>
    <row r="2115" spans="6:23" ht="20.25" customHeight="1">
      <c r="H2115" s="358" t="s">
        <v>1586</v>
      </c>
      <c r="M2115" s="268"/>
      <c r="N2115" s="268"/>
      <c r="O2115" s="268" t="s">
        <v>2271</v>
      </c>
      <c r="P2115" s="268"/>
      <c r="Q2115" s="268"/>
      <c r="R2115" s="522" t="s">
        <v>1586</v>
      </c>
      <c r="W2115" s="253"/>
    </row>
    <row r="2116" spans="6:23" ht="20.25"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20.25" customHeight="1">
      <c r="G2117" s="252" t="s">
        <v>449</v>
      </c>
      <c r="H2117" s="296" t="s">
        <v>1686</v>
      </c>
      <c r="J2117" s="296" t="s">
        <v>449</v>
      </c>
      <c r="K2117" s="252">
        <v>4</v>
      </c>
      <c r="W2117" s="253"/>
    </row>
    <row r="2118" spans="6:23" ht="20.25" customHeight="1">
      <c r="J2118" s="296" t="s">
        <v>975</v>
      </c>
      <c r="K2118" s="358" t="s">
        <v>1586</v>
      </c>
      <c r="W2118" s="253"/>
    </row>
    <row r="2119" spans="6:23" ht="20.25" customHeight="1">
      <c r="H2119" s="296" t="s">
        <v>1751</v>
      </c>
      <c r="K2119" s="252">
        <f>SUM(K2116:K2118)</f>
        <v>160</v>
      </c>
      <c r="W2119" s="253"/>
    </row>
    <row r="2120" spans="6:23" ht="20.25" customHeight="1">
      <c r="K2120" s="358" t="s">
        <v>1586</v>
      </c>
      <c r="W2120" s="253"/>
    </row>
    <row r="2121" spans="6:23" ht="20.25" customHeight="1">
      <c r="F2121" s="253" t="s">
        <v>1687</v>
      </c>
      <c r="G2121" s="252" t="s">
        <v>2251</v>
      </c>
      <c r="H2121" s="296" t="s">
        <v>51</v>
      </c>
      <c r="W2121" s="253"/>
    </row>
    <row r="2122" spans="6:23" ht="20.25" customHeight="1">
      <c r="H2122" s="296" t="s">
        <v>52</v>
      </c>
      <c r="W2122" s="253"/>
    </row>
    <row r="2123" spans="6:23" ht="20.25" customHeight="1">
      <c r="H2123" s="358" t="s">
        <v>1586</v>
      </c>
      <c r="W2123" s="253"/>
    </row>
    <row r="2124" spans="6:23" ht="20.25" customHeight="1">
      <c r="F2124" s="252">
        <v>50</v>
      </c>
      <c r="G2124" s="252" t="s">
        <v>868</v>
      </c>
      <c r="H2124" s="296" t="s">
        <v>790</v>
      </c>
      <c r="I2124" s="252">
        <f>C204</f>
        <v>63.4</v>
      </c>
      <c r="J2124" s="296" t="s">
        <v>868</v>
      </c>
      <c r="K2124" s="252">
        <f t="shared" ref="K2124:K2133" si="244">(F2124*I2124)</f>
        <v>3170</v>
      </c>
      <c r="W2124" s="253"/>
    </row>
    <row r="2125" spans="6:23" ht="20.25" customHeight="1">
      <c r="F2125" s="252">
        <v>21.6</v>
      </c>
      <c r="G2125" s="252" t="s">
        <v>869</v>
      </c>
      <c r="H2125" s="296" t="s">
        <v>791</v>
      </c>
      <c r="I2125" s="252">
        <f>(C61*2)</f>
        <v>224.1</v>
      </c>
      <c r="J2125" s="296" t="s">
        <v>869</v>
      </c>
      <c r="K2125" s="252">
        <f t="shared" si="244"/>
        <v>4840.5600000000004</v>
      </c>
      <c r="W2125" s="253"/>
    </row>
    <row r="2126" spans="6:23" ht="20.25" customHeight="1">
      <c r="F2126" s="252">
        <v>21.6</v>
      </c>
      <c r="G2126" s="252" t="s">
        <v>869</v>
      </c>
      <c r="H2126" s="296" t="s">
        <v>251</v>
      </c>
      <c r="I2126" s="252">
        <f>(C26)</f>
        <v>38.950000000000003</v>
      </c>
      <c r="J2126" s="296" t="s">
        <v>869</v>
      </c>
      <c r="K2126" s="252">
        <f t="shared" si="244"/>
        <v>841.32</v>
      </c>
      <c r="W2126" s="253"/>
    </row>
    <row r="2127" spans="6:23" ht="20.25" customHeight="1">
      <c r="F2127" s="252">
        <v>45</v>
      </c>
      <c r="G2127" s="252" t="s">
        <v>1645</v>
      </c>
      <c r="H2127" s="296" t="s">
        <v>862</v>
      </c>
      <c r="I2127" s="252">
        <f>(C67/1000)</f>
        <v>6.04</v>
      </c>
      <c r="J2127" s="296" t="s">
        <v>1645</v>
      </c>
      <c r="K2127" s="252">
        <f t="shared" si="244"/>
        <v>271.8</v>
      </c>
      <c r="W2127" s="253"/>
    </row>
    <row r="2128" spans="6:23" ht="20.25" customHeight="1">
      <c r="F2128" s="252">
        <v>0.04</v>
      </c>
      <c r="G2128" s="252" t="s">
        <v>869</v>
      </c>
      <c r="H2128" s="296" t="s">
        <v>870</v>
      </c>
      <c r="I2128" s="252">
        <f>(C78)</f>
        <v>1741.58</v>
      </c>
      <c r="J2128" s="296" t="s">
        <v>869</v>
      </c>
      <c r="K2128" s="252">
        <f t="shared" si="244"/>
        <v>69.66</v>
      </c>
      <c r="W2128" s="253"/>
    </row>
    <row r="2129" spans="6:23" ht="20.25" customHeight="1">
      <c r="F2129" s="252">
        <v>3.63</v>
      </c>
      <c r="G2129" s="252" t="s">
        <v>1645</v>
      </c>
      <c r="H2129" s="296" t="s">
        <v>792</v>
      </c>
      <c r="I2129" s="252">
        <f>(C607)</f>
        <v>11.8</v>
      </c>
      <c r="J2129" s="296" t="s">
        <v>1645</v>
      </c>
      <c r="K2129" s="252">
        <f t="shared" si="244"/>
        <v>42.83</v>
      </c>
      <c r="W2129" s="253"/>
    </row>
    <row r="2130" spans="6:23" ht="20.25" customHeight="1">
      <c r="F2130" s="252">
        <v>2</v>
      </c>
      <c r="G2130" s="252" t="s">
        <v>868</v>
      </c>
      <c r="H2130" s="296" t="s">
        <v>2009</v>
      </c>
      <c r="I2130" s="252">
        <f>(C10)</f>
        <v>999</v>
      </c>
      <c r="J2130" s="296" t="s">
        <v>868</v>
      </c>
      <c r="K2130" s="252">
        <f t="shared" si="244"/>
        <v>1998</v>
      </c>
      <c r="W2130" s="253"/>
    </row>
    <row r="2131" spans="6:23" ht="20.25" customHeight="1">
      <c r="F2131" s="252">
        <v>1</v>
      </c>
      <c r="G2131" s="252" t="s">
        <v>868</v>
      </c>
      <c r="H2131" s="296" t="s">
        <v>793</v>
      </c>
      <c r="I2131" s="252">
        <f>AE37</f>
        <v>839</v>
      </c>
      <c r="J2131" s="296" t="s">
        <v>868</v>
      </c>
      <c r="K2131" s="252">
        <f t="shared" si="244"/>
        <v>839</v>
      </c>
      <c r="W2131" s="253"/>
    </row>
    <row r="2132" spans="6:23" ht="20.25" customHeight="1">
      <c r="F2132" s="252">
        <v>5</v>
      </c>
      <c r="G2132" s="252" t="s">
        <v>868</v>
      </c>
      <c r="H2132" s="296" t="s">
        <v>1902</v>
      </c>
      <c r="I2132" s="252">
        <f>(C12)</f>
        <v>651</v>
      </c>
      <c r="J2132" s="296" t="s">
        <v>868</v>
      </c>
      <c r="K2132" s="252">
        <f t="shared" si="244"/>
        <v>3255</v>
      </c>
      <c r="W2132" s="253"/>
    </row>
    <row r="2133" spans="6:23" ht="20.25" customHeight="1">
      <c r="F2133" s="252">
        <v>2</v>
      </c>
      <c r="G2133" s="252" t="s">
        <v>868</v>
      </c>
      <c r="H2133" s="296" t="s">
        <v>320</v>
      </c>
      <c r="I2133" s="252">
        <f>(C13)</f>
        <v>534</v>
      </c>
      <c r="J2133" s="296" t="s">
        <v>868</v>
      </c>
      <c r="K2133" s="252">
        <f t="shared" si="244"/>
        <v>1068</v>
      </c>
      <c r="W2133" s="253"/>
    </row>
    <row r="2134" spans="6:23" ht="20.25" customHeight="1">
      <c r="G2134" s="252" t="s">
        <v>449</v>
      </c>
      <c r="H2134" s="296" t="s">
        <v>2136</v>
      </c>
      <c r="J2134" s="296" t="s">
        <v>449</v>
      </c>
      <c r="K2134" s="252">
        <f>SUM(K2130:K2133)/10+7.5</f>
        <v>723.5</v>
      </c>
      <c r="W2134" s="253"/>
    </row>
    <row r="2135" spans="6:23" ht="20.25" customHeight="1">
      <c r="K2135" s="358" t="s">
        <v>1586</v>
      </c>
      <c r="W2135" s="253"/>
    </row>
    <row r="2136" spans="6:23" ht="20.25" customHeight="1">
      <c r="H2136" s="296" t="s">
        <v>2137</v>
      </c>
      <c r="K2136" s="252">
        <f>SUM(K2124:K2134)</f>
        <v>17119.669999999998</v>
      </c>
      <c r="W2136" s="253"/>
    </row>
    <row r="2137" spans="6:23" ht="20.25" customHeight="1">
      <c r="K2137" s="358" t="s">
        <v>1586</v>
      </c>
      <c r="W2137" s="253"/>
    </row>
    <row r="2138" spans="6:23" ht="20.25" customHeight="1">
      <c r="H2138" s="296" t="s">
        <v>1123</v>
      </c>
      <c r="K2138" s="252">
        <f>(K2136/30)</f>
        <v>570.66</v>
      </c>
      <c r="W2138" s="253"/>
    </row>
    <row r="2139" spans="6:23" ht="20.25" customHeight="1">
      <c r="K2139" s="358" t="s">
        <v>2055</v>
      </c>
      <c r="W2139" s="253"/>
    </row>
    <row r="2140" spans="6:23" ht="20.25" customHeight="1">
      <c r="W2140" s="253"/>
    </row>
    <row r="2141" spans="6:23" ht="20.25" customHeight="1">
      <c r="F2141" s="253" t="s">
        <v>1124</v>
      </c>
      <c r="G2141" s="252" t="s">
        <v>2251</v>
      </c>
      <c r="H2141" s="296" t="s">
        <v>1019</v>
      </c>
      <c r="W2141" s="253"/>
    </row>
    <row r="2142" spans="6:23" ht="20.25" customHeight="1">
      <c r="H2142" s="296" t="s">
        <v>52</v>
      </c>
      <c r="W2142" s="253"/>
    </row>
    <row r="2143" spans="6:23" ht="20.25" customHeight="1">
      <c r="H2143" s="358" t="s">
        <v>1586</v>
      </c>
      <c r="W2143" s="253"/>
    </row>
    <row r="2144" spans="6:23" ht="20.25" customHeight="1">
      <c r="F2144" s="252">
        <v>50</v>
      </c>
      <c r="G2144" s="252" t="s">
        <v>868</v>
      </c>
      <c r="H2144" s="296" t="s">
        <v>568</v>
      </c>
      <c r="I2144" s="252">
        <f>C205</f>
        <v>102</v>
      </c>
      <c r="J2144" s="296" t="s">
        <v>868</v>
      </c>
      <c r="K2144" s="252">
        <f t="shared" ref="K2144:K2153" si="245">(F2144*I2144)</f>
        <v>5100</v>
      </c>
      <c r="W2144" s="253"/>
    </row>
    <row r="2145" spans="6:23" ht="20.25" customHeight="1">
      <c r="F2145" s="252">
        <v>21.6</v>
      </c>
      <c r="G2145" s="252" t="s">
        <v>869</v>
      </c>
      <c r="H2145" s="296" t="s">
        <v>791</v>
      </c>
      <c r="I2145" s="252">
        <f>(C61*2)</f>
        <v>224.1</v>
      </c>
      <c r="J2145" s="296" t="s">
        <v>869</v>
      </c>
      <c r="K2145" s="252">
        <f t="shared" si="245"/>
        <v>4840.5600000000004</v>
      </c>
      <c r="W2145" s="253"/>
    </row>
    <row r="2146" spans="6:23" ht="20.25" customHeight="1">
      <c r="F2146" s="252">
        <v>21.6</v>
      </c>
      <c r="G2146" s="252" t="s">
        <v>869</v>
      </c>
      <c r="H2146" s="296" t="s">
        <v>251</v>
      </c>
      <c r="I2146" s="252">
        <f>(C26)</f>
        <v>38.950000000000003</v>
      </c>
      <c r="J2146" s="296" t="s">
        <v>869</v>
      </c>
      <c r="K2146" s="252">
        <f t="shared" si="245"/>
        <v>841.32</v>
      </c>
      <c r="W2146" s="253"/>
    </row>
    <row r="2147" spans="6:23" ht="20.25" customHeight="1">
      <c r="F2147" s="252">
        <v>68</v>
      </c>
      <c r="G2147" s="252" t="s">
        <v>1645</v>
      </c>
      <c r="H2147" s="296" t="s">
        <v>862</v>
      </c>
      <c r="I2147" s="252">
        <f>(C67/1000)</f>
        <v>6.04</v>
      </c>
      <c r="J2147" s="296" t="s">
        <v>1645</v>
      </c>
      <c r="K2147" s="252">
        <f t="shared" si="245"/>
        <v>410.72</v>
      </c>
      <c r="W2147" s="253"/>
    </row>
    <row r="2148" spans="6:23" ht="20.25" customHeight="1">
      <c r="F2148" s="252">
        <v>7.0000000000000007E-2</v>
      </c>
      <c r="G2148" s="252" t="s">
        <v>869</v>
      </c>
      <c r="H2148" s="296" t="s">
        <v>870</v>
      </c>
      <c r="I2148" s="252">
        <f>(C78)</f>
        <v>1741.58</v>
      </c>
      <c r="J2148" s="296" t="s">
        <v>869</v>
      </c>
      <c r="K2148" s="252">
        <f t="shared" si="245"/>
        <v>121.91</v>
      </c>
      <c r="M2148" s="253" t="s">
        <v>1124</v>
      </c>
      <c r="N2148" s="252" t="s">
        <v>2251</v>
      </c>
      <c r="O2148" s="296" t="s">
        <v>739</v>
      </c>
      <c r="Q2148" s="296"/>
      <c r="W2148" s="253"/>
    </row>
    <row r="2149" spans="6:23" ht="20.25" customHeight="1">
      <c r="F2149" s="252">
        <v>5.45</v>
      </c>
      <c r="G2149" s="252" t="s">
        <v>1645</v>
      </c>
      <c r="H2149" s="296" t="s">
        <v>792</v>
      </c>
      <c r="I2149" s="252">
        <f>(C607)</f>
        <v>11.8</v>
      </c>
      <c r="J2149" s="296" t="s">
        <v>1645</v>
      </c>
      <c r="K2149" s="252">
        <f t="shared" si="245"/>
        <v>64.31</v>
      </c>
      <c r="O2149" s="296" t="s">
        <v>52</v>
      </c>
      <c r="Q2149" s="296"/>
      <c r="W2149" s="253"/>
    </row>
    <row r="2150" spans="6:23" ht="20.25" customHeight="1">
      <c r="F2150" s="252">
        <v>3</v>
      </c>
      <c r="G2150" s="252" t="s">
        <v>868</v>
      </c>
      <c r="H2150" s="296" t="s">
        <v>2009</v>
      </c>
      <c r="I2150" s="252">
        <f>(C10)</f>
        <v>999</v>
      </c>
      <c r="J2150" s="296" t="s">
        <v>868</v>
      </c>
      <c r="K2150" s="252">
        <f t="shared" si="245"/>
        <v>2997</v>
      </c>
      <c r="O2150" s="358" t="s">
        <v>1586</v>
      </c>
      <c r="Q2150" s="296"/>
      <c r="W2150" s="253"/>
    </row>
    <row r="2151" spans="6:23" ht="20.25" customHeight="1">
      <c r="F2151" s="252">
        <v>2</v>
      </c>
      <c r="G2151" s="252" t="s">
        <v>868</v>
      </c>
      <c r="H2151" s="296" t="s">
        <v>793</v>
      </c>
      <c r="I2151" s="252">
        <f>AE37</f>
        <v>839</v>
      </c>
      <c r="J2151" s="296" t="s">
        <v>868</v>
      </c>
      <c r="K2151" s="252">
        <f t="shared" si="245"/>
        <v>1678</v>
      </c>
      <c r="M2151" s="252">
        <v>50</v>
      </c>
      <c r="N2151" s="252" t="s">
        <v>868</v>
      </c>
      <c r="O2151" s="389" t="s">
        <v>6132</v>
      </c>
      <c r="P2151" s="485">
        <v>455</v>
      </c>
      <c r="Q2151" s="296" t="s">
        <v>868</v>
      </c>
      <c r="R2151" s="252">
        <f t="shared" ref="R2151:R2160" si="246">(M2151*P2151)</f>
        <v>22750</v>
      </c>
      <c r="W2151" s="253"/>
    </row>
    <row r="2152" spans="6:23" ht="20.25"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0.25"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0.25"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0.25" customHeight="1">
      <c r="K2155" s="358" t="s">
        <v>1586</v>
      </c>
      <c r="M2155" s="252">
        <v>0.11</v>
      </c>
      <c r="N2155" s="252" t="s">
        <v>869</v>
      </c>
      <c r="O2155" s="296" t="s">
        <v>870</v>
      </c>
      <c r="P2155" s="252">
        <f t="shared" si="247"/>
        <v>1741.58</v>
      </c>
      <c r="Q2155" s="296" t="s">
        <v>869</v>
      </c>
      <c r="R2155" s="252">
        <f t="shared" si="246"/>
        <v>191.57</v>
      </c>
      <c r="W2155" s="253"/>
    </row>
    <row r="2156" spans="6:23" ht="20.25" customHeight="1">
      <c r="H2156" s="296" t="s">
        <v>2137</v>
      </c>
      <c r="K2156" s="252">
        <f>SUM(K2144:K2154)</f>
        <v>22584.92</v>
      </c>
      <c r="M2156" s="252">
        <v>8.35</v>
      </c>
      <c r="N2156" s="252" t="s">
        <v>1645</v>
      </c>
      <c r="O2156" s="296" t="s">
        <v>792</v>
      </c>
      <c r="P2156" s="252">
        <f t="shared" si="247"/>
        <v>11.8</v>
      </c>
      <c r="Q2156" s="296" t="s">
        <v>1645</v>
      </c>
      <c r="R2156" s="252">
        <f t="shared" si="246"/>
        <v>98.53</v>
      </c>
      <c r="W2156" s="253"/>
    </row>
    <row r="2157" spans="6:23" ht="20.25" customHeight="1">
      <c r="K2157" s="358" t="s">
        <v>1586</v>
      </c>
      <c r="M2157" s="252">
        <v>5</v>
      </c>
      <c r="N2157" s="252" t="s">
        <v>868</v>
      </c>
      <c r="O2157" s="296" t="s">
        <v>2009</v>
      </c>
      <c r="P2157" s="252">
        <f t="shared" si="247"/>
        <v>999</v>
      </c>
      <c r="Q2157" s="296" t="s">
        <v>868</v>
      </c>
      <c r="R2157" s="252">
        <f t="shared" si="246"/>
        <v>4995</v>
      </c>
      <c r="W2157" s="253"/>
    </row>
    <row r="2158" spans="6:23" ht="20.25" customHeight="1">
      <c r="H2158" s="296" t="s">
        <v>1123</v>
      </c>
      <c r="K2158" s="252">
        <f>(K2156/30)</f>
        <v>752.83</v>
      </c>
      <c r="M2158" s="252">
        <v>3</v>
      </c>
      <c r="N2158" s="252" t="s">
        <v>868</v>
      </c>
      <c r="O2158" s="296" t="s">
        <v>793</v>
      </c>
      <c r="P2158" s="252">
        <f t="shared" si="247"/>
        <v>839</v>
      </c>
      <c r="Q2158" s="296" t="s">
        <v>868</v>
      </c>
      <c r="R2158" s="252">
        <f t="shared" si="246"/>
        <v>2517</v>
      </c>
      <c r="W2158" s="253"/>
    </row>
    <row r="2159" spans="6:23" ht="20.25" customHeight="1">
      <c r="K2159" s="358" t="s">
        <v>2055</v>
      </c>
      <c r="M2159" s="252">
        <v>7</v>
      </c>
      <c r="N2159" s="252" t="s">
        <v>868</v>
      </c>
      <c r="O2159" s="296" t="s">
        <v>1902</v>
      </c>
      <c r="P2159" s="252">
        <f t="shared" si="247"/>
        <v>651</v>
      </c>
      <c r="Q2159" s="296" t="s">
        <v>868</v>
      </c>
      <c r="R2159" s="252">
        <f t="shared" si="246"/>
        <v>4557</v>
      </c>
      <c r="W2159" s="253"/>
    </row>
    <row r="2160" spans="6:23" ht="20.25"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0.25" customHeight="1">
      <c r="H2161" s="296" t="s">
        <v>218</v>
      </c>
      <c r="N2161" s="252" t="s">
        <v>449</v>
      </c>
      <c r="O2161" s="296" t="s">
        <v>2136</v>
      </c>
      <c r="Q2161" s="296" t="s">
        <v>449</v>
      </c>
      <c r="R2161" s="252">
        <v>234</v>
      </c>
      <c r="W2161" s="253"/>
    </row>
    <row r="2162" spans="6:23" ht="20.25" customHeight="1">
      <c r="H2162" s="358" t="s">
        <v>1586</v>
      </c>
      <c r="Q2162" s="296"/>
      <c r="R2162" s="358" t="s">
        <v>1586</v>
      </c>
      <c r="W2162" s="253"/>
    </row>
    <row r="2163" spans="6:23" ht="20.25" customHeight="1">
      <c r="F2163" s="252">
        <v>50</v>
      </c>
      <c r="G2163" s="252" t="s">
        <v>868</v>
      </c>
      <c r="H2163" s="296" t="s">
        <v>219</v>
      </c>
      <c r="I2163" s="252">
        <f>C204</f>
        <v>63.4</v>
      </c>
      <c r="J2163" s="296" t="s">
        <v>868</v>
      </c>
      <c r="K2163" s="252">
        <f>(F2163*I2163)</f>
        <v>3170</v>
      </c>
      <c r="O2163" s="296" t="s">
        <v>2137</v>
      </c>
      <c r="Q2163" s="296"/>
      <c r="R2163" s="252">
        <f>SUM(R2151:R2161)</f>
        <v>44389.58</v>
      </c>
      <c r="W2163" s="253"/>
    </row>
    <row r="2164" spans="6:23" ht="20.25" customHeight="1">
      <c r="F2164" s="252">
        <v>1</v>
      </c>
      <c r="G2164" s="252" t="s">
        <v>868</v>
      </c>
      <c r="H2164" s="296" t="s">
        <v>793</v>
      </c>
      <c r="I2164" s="252">
        <f>AE37</f>
        <v>839</v>
      </c>
      <c r="J2164" s="296" t="s">
        <v>868</v>
      </c>
      <c r="K2164" s="252">
        <f>(F2164*I2164)</f>
        <v>839</v>
      </c>
      <c r="Q2164" s="296"/>
      <c r="R2164" s="358" t="s">
        <v>1586</v>
      </c>
      <c r="W2164" s="253"/>
    </row>
    <row r="2165" spans="6:23" ht="20.25" customHeight="1">
      <c r="F2165" s="252">
        <v>5</v>
      </c>
      <c r="G2165" s="252" t="s">
        <v>868</v>
      </c>
      <c r="H2165" s="296" t="s">
        <v>1902</v>
      </c>
      <c r="I2165" s="252">
        <f>C12</f>
        <v>651</v>
      </c>
      <c r="J2165" s="296" t="s">
        <v>868</v>
      </c>
      <c r="K2165" s="252">
        <f>(F2165*I2165)</f>
        <v>3255</v>
      </c>
      <c r="O2165" s="296" t="s">
        <v>1123</v>
      </c>
      <c r="Q2165" s="296"/>
      <c r="R2165" s="252">
        <f>(R2163/30)</f>
        <v>1479.65</v>
      </c>
      <c r="W2165" s="253"/>
    </row>
    <row r="2166" spans="6:23" ht="20.25" customHeight="1">
      <c r="H2166" s="296" t="s">
        <v>2271</v>
      </c>
      <c r="K2166" s="407">
        <v>1.8</v>
      </c>
      <c r="Q2166" s="296"/>
      <c r="R2166" s="358" t="s">
        <v>2055</v>
      </c>
      <c r="W2166" s="253"/>
    </row>
    <row r="2167" spans="6:23" ht="20.25" customHeight="1">
      <c r="H2167" s="296" t="s">
        <v>2137</v>
      </c>
      <c r="K2167" s="252">
        <f>SUM(K2163:K2166)</f>
        <v>7265.8</v>
      </c>
      <c r="W2167" s="253"/>
    </row>
    <row r="2168" spans="6:23" ht="20.25" customHeight="1">
      <c r="F2168" s="296" t="s">
        <v>975</v>
      </c>
      <c r="K2168" s="358" t="s">
        <v>1586</v>
      </c>
      <c r="W2168" s="253"/>
    </row>
    <row r="2169" spans="6:23" ht="20.25" customHeight="1">
      <c r="H2169" s="296" t="s">
        <v>1123</v>
      </c>
      <c r="K2169" s="252">
        <f>(K2167/30)</f>
        <v>242.19</v>
      </c>
      <c r="W2169" s="253"/>
    </row>
    <row r="2170" spans="6:23" ht="20.25" customHeight="1">
      <c r="F2170" s="296" t="s">
        <v>975</v>
      </c>
      <c r="W2170" s="253"/>
    </row>
    <row r="2171" spans="6:23" ht="20.25" customHeight="1">
      <c r="F2171" s="296" t="s">
        <v>975</v>
      </c>
      <c r="W2171" s="253"/>
    </row>
    <row r="2172" spans="6:23" ht="20.25" customHeight="1">
      <c r="K2172" s="358" t="s">
        <v>2055</v>
      </c>
      <c r="W2172" s="253"/>
    </row>
    <row r="2173" spans="6:23" ht="20.25" customHeight="1">
      <c r="F2173" s="253" t="s">
        <v>1124</v>
      </c>
      <c r="G2173" s="252" t="s">
        <v>2251</v>
      </c>
      <c r="H2173" s="296" t="s">
        <v>1019</v>
      </c>
      <c r="W2173" s="253"/>
    </row>
    <row r="2174" spans="6:23" ht="20.25" customHeight="1">
      <c r="H2174" s="252" t="str">
        <f>H2161</f>
        <v>DIA S.W.PIPE(LOOSE JOINTING)</v>
      </c>
      <c r="W2174" s="253"/>
    </row>
    <row r="2175" spans="6:23" ht="20.25" customHeight="1">
      <c r="H2175" s="358" t="s">
        <v>1586</v>
      </c>
      <c r="W2175" s="253"/>
    </row>
    <row r="2176" spans="6:23" ht="20.25" customHeight="1">
      <c r="F2176" s="252">
        <v>50</v>
      </c>
      <c r="G2176" s="252" t="s">
        <v>868</v>
      </c>
      <c r="H2176" s="296" t="s">
        <v>220</v>
      </c>
      <c r="I2176" s="252">
        <f>C205</f>
        <v>102</v>
      </c>
      <c r="J2176" s="296" t="s">
        <v>868</v>
      </c>
      <c r="K2176" s="252">
        <f>(F2176*I2176)</f>
        <v>5100</v>
      </c>
      <c r="W2176" s="253"/>
    </row>
    <row r="2177" spans="6:23" ht="20.25" customHeight="1">
      <c r="F2177" s="252">
        <v>2</v>
      </c>
      <c r="G2177" s="252" t="s">
        <v>868</v>
      </c>
      <c r="H2177" s="296" t="s">
        <v>793</v>
      </c>
      <c r="I2177" s="252">
        <f>AE37</f>
        <v>839</v>
      </c>
      <c r="J2177" s="296" t="s">
        <v>868</v>
      </c>
      <c r="K2177" s="252">
        <f>(F2177*I2177)</f>
        <v>1678</v>
      </c>
      <c r="W2177" s="253"/>
    </row>
    <row r="2178" spans="6:23" ht="20.25" customHeight="1">
      <c r="F2178" s="252">
        <v>6</v>
      </c>
      <c r="G2178" s="252" t="s">
        <v>868</v>
      </c>
      <c r="H2178" s="296" t="s">
        <v>1902</v>
      </c>
      <c r="I2178" s="252">
        <f>C12</f>
        <v>651</v>
      </c>
      <c r="J2178" s="296" t="s">
        <v>868</v>
      </c>
      <c r="K2178" s="252">
        <f>(F2178*I2178)</f>
        <v>3906</v>
      </c>
      <c r="W2178" s="253"/>
    </row>
    <row r="2179" spans="6:23" ht="20.25" customHeight="1">
      <c r="H2179" s="296" t="s">
        <v>2271</v>
      </c>
      <c r="K2179" s="407">
        <v>0.6</v>
      </c>
      <c r="W2179" s="253"/>
    </row>
    <row r="2180" spans="6:23" ht="20.25" customHeight="1">
      <c r="H2180" s="296" t="s">
        <v>2137</v>
      </c>
      <c r="K2180" s="252">
        <f>SUM(K2176:K2179)</f>
        <v>10684.6</v>
      </c>
      <c r="W2180" s="253"/>
    </row>
    <row r="2181" spans="6:23" ht="20.25" customHeight="1">
      <c r="K2181" s="358" t="s">
        <v>1586</v>
      </c>
      <c r="W2181" s="253"/>
    </row>
    <row r="2182" spans="6:23" ht="20.25" customHeight="1">
      <c r="H2182" s="296" t="s">
        <v>1123</v>
      </c>
      <c r="K2182" s="252">
        <f>(K2180/30)</f>
        <v>356.15</v>
      </c>
      <c r="W2182" s="253"/>
    </row>
    <row r="2183" spans="6:23" ht="20.25" customHeight="1">
      <c r="K2183" s="358" t="s">
        <v>2055</v>
      </c>
      <c r="W2183" s="253"/>
    </row>
    <row r="2184" spans="6:23" ht="20.25" customHeight="1">
      <c r="H2184" s="253" t="s">
        <v>221</v>
      </c>
      <c r="K2184" s="252">
        <f>SUM(K2181:K2182)</f>
        <v>356.15</v>
      </c>
      <c r="W2184" s="253"/>
    </row>
    <row r="2185" spans="6:23" ht="20.25" customHeight="1">
      <c r="K2185" s="358" t="s">
        <v>2055</v>
      </c>
      <c r="W2185" s="253"/>
    </row>
    <row r="2186" spans="6:23" ht="20.25" customHeight="1">
      <c r="F2186" s="253" t="s">
        <v>1869</v>
      </c>
      <c r="G2186" s="252" t="s">
        <v>2251</v>
      </c>
      <c r="H2186" s="296" t="s">
        <v>51</v>
      </c>
      <c r="W2186" s="253"/>
    </row>
    <row r="2187" spans="6:23" ht="20.25" customHeight="1">
      <c r="H2187" s="296" t="s">
        <v>56</v>
      </c>
      <c r="W2187" s="253"/>
    </row>
    <row r="2188" spans="6:23" ht="20.25" customHeight="1">
      <c r="H2188" s="358" t="s">
        <v>1586</v>
      </c>
      <c r="W2188" s="253"/>
    </row>
    <row r="2189" spans="6:23" ht="20.25" customHeight="1">
      <c r="F2189" s="252">
        <v>1</v>
      </c>
      <c r="G2189" s="252" t="s">
        <v>868</v>
      </c>
      <c r="H2189" s="296" t="s">
        <v>1089</v>
      </c>
      <c r="I2189" s="252">
        <f>C206</f>
        <v>101.6</v>
      </c>
      <c r="J2189" s="296" t="s">
        <v>868</v>
      </c>
      <c r="K2189" s="252">
        <f>(F2189*I2189)</f>
        <v>101.6</v>
      </c>
      <c r="W2189" s="253"/>
    </row>
    <row r="2190" spans="6:23" ht="20.25" customHeight="1">
      <c r="F2190" s="296" t="s">
        <v>975</v>
      </c>
      <c r="H2190" s="296" t="s">
        <v>57</v>
      </c>
      <c r="W2190" s="253"/>
    </row>
    <row r="2191" spans="6:23" ht="20.25" customHeight="1">
      <c r="F2191" s="296" t="s">
        <v>975</v>
      </c>
      <c r="H2191" s="296" t="s">
        <v>58</v>
      </c>
      <c r="I2191" s="253" t="s">
        <v>449</v>
      </c>
      <c r="K2191" s="252">
        <v>2.5</v>
      </c>
      <c r="W2191" s="253"/>
    </row>
    <row r="2192" spans="6:23" ht="20.25" customHeight="1">
      <c r="K2192" s="358" t="s">
        <v>1586</v>
      </c>
      <c r="W2192" s="253"/>
    </row>
    <row r="2193" spans="6:23" ht="20.25" customHeight="1">
      <c r="H2193" s="296" t="s">
        <v>2137</v>
      </c>
      <c r="K2193" s="252">
        <f>SUM(K2189:K2191)</f>
        <v>104.1</v>
      </c>
      <c r="W2193" s="253"/>
    </row>
    <row r="2194" spans="6:23" ht="20.25" customHeight="1">
      <c r="F2194" s="253" t="s">
        <v>1869</v>
      </c>
      <c r="G2194" s="252" t="s">
        <v>2251</v>
      </c>
      <c r="H2194" s="296" t="s">
        <v>1019</v>
      </c>
      <c r="K2194" s="358" t="s">
        <v>1586</v>
      </c>
      <c r="W2194" s="253"/>
    </row>
    <row r="2195" spans="6:23" ht="20.25" customHeight="1">
      <c r="H2195" s="296" t="s">
        <v>56</v>
      </c>
      <c r="W2195" s="253"/>
    </row>
    <row r="2196" spans="6:23" ht="20.25" customHeight="1">
      <c r="H2196" s="358" t="s">
        <v>1586</v>
      </c>
      <c r="K2196" s="358" t="s">
        <v>1586</v>
      </c>
      <c r="W2196" s="253"/>
    </row>
    <row r="2197" spans="6:23" ht="20.25" customHeight="1">
      <c r="F2197" s="252">
        <v>1</v>
      </c>
      <c r="G2197" s="252" t="s">
        <v>769</v>
      </c>
      <c r="H2197" s="296" t="s">
        <v>1088</v>
      </c>
      <c r="J2197" s="296">
        <f>E206</f>
        <v>140.65</v>
      </c>
      <c r="K2197" s="252">
        <f>J2197</f>
        <v>140.65</v>
      </c>
      <c r="W2197" s="253"/>
    </row>
    <row r="2198" spans="6:23" ht="20.25" customHeight="1">
      <c r="H2198" s="296" t="s">
        <v>58</v>
      </c>
      <c r="I2198" s="253" t="s">
        <v>449</v>
      </c>
      <c r="K2198" s="252">
        <v>2.5</v>
      </c>
      <c r="W2198" s="253"/>
    </row>
    <row r="2199" spans="6:23" ht="20.25" customHeight="1">
      <c r="F2199" s="253" t="s">
        <v>1264</v>
      </c>
      <c r="G2199" s="252" t="s">
        <v>2251</v>
      </c>
      <c r="H2199" s="276" t="s">
        <v>51</v>
      </c>
      <c r="K2199" s="358" t="s">
        <v>1586</v>
      </c>
      <c r="W2199" s="253"/>
    </row>
    <row r="2200" spans="6:23" ht="20.25" customHeight="1">
      <c r="H2200" s="276" t="s">
        <v>1271</v>
      </c>
      <c r="K2200" s="252">
        <f>SUM(K2196:K2198)</f>
        <v>143.15</v>
      </c>
      <c r="W2200" s="253"/>
    </row>
    <row r="2201" spans="6:23" ht="20.25" customHeight="1">
      <c r="H2201" s="358" t="s">
        <v>1586</v>
      </c>
      <c r="K2201" s="358" t="s">
        <v>1586</v>
      </c>
      <c r="W2201" s="253"/>
    </row>
    <row r="2202" spans="6:23" ht="20.25" customHeight="1">
      <c r="F2202" s="252">
        <v>1</v>
      </c>
      <c r="G2202" s="252" t="s">
        <v>868</v>
      </c>
      <c r="H2202" s="296" t="s">
        <v>1087</v>
      </c>
      <c r="I2202" s="252">
        <f>C203</f>
        <v>128</v>
      </c>
      <c r="J2202" s="296" t="s">
        <v>868</v>
      </c>
      <c r="K2202" s="252">
        <f>(F2202*I2202)</f>
        <v>128</v>
      </c>
      <c r="W2202" s="253"/>
    </row>
    <row r="2203" spans="6:23" ht="20.25" customHeight="1">
      <c r="F2203" s="296" t="s">
        <v>975</v>
      </c>
      <c r="H2203" s="296" t="s">
        <v>57</v>
      </c>
      <c r="W2203" s="253"/>
    </row>
    <row r="2204" spans="6:23" ht="20.25" customHeight="1">
      <c r="F2204" s="296" t="s">
        <v>975</v>
      </c>
      <c r="H2204" s="296" t="s">
        <v>58</v>
      </c>
      <c r="I2204" s="253" t="s">
        <v>449</v>
      </c>
      <c r="K2204" s="252">
        <v>3</v>
      </c>
      <c r="W2204" s="253"/>
    </row>
    <row r="2205" spans="6:23" ht="20.25" customHeight="1">
      <c r="K2205" s="358" t="s">
        <v>1586</v>
      </c>
      <c r="W2205" s="253"/>
    </row>
    <row r="2206" spans="6:23" ht="20.25" customHeight="1">
      <c r="H2206" s="296" t="s">
        <v>2137</v>
      </c>
      <c r="K2206" s="252">
        <f>SUM(K2202:K2204)</f>
        <v>131</v>
      </c>
      <c r="W2206" s="253"/>
    </row>
    <row r="2207" spans="6:23" ht="20.25" customHeight="1">
      <c r="K2207" s="358" t="s">
        <v>1586</v>
      </c>
      <c r="W2207" s="253"/>
    </row>
    <row r="2208" spans="6:23" ht="20.25" customHeight="1">
      <c r="W2208" s="253"/>
    </row>
    <row r="2209" spans="6:23" ht="20.25" customHeight="1">
      <c r="F2209" s="253" t="s">
        <v>1804</v>
      </c>
      <c r="G2209" s="252" t="s">
        <v>2251</v>
      </c>
      <c r="H2209" s="276" t="s">
        <v>1019</v>
      </c>
      <c r="W2209" s="253"/>
    </row>
    <row r="2210" spans="6:23" ht="20.25" customHeight="1">
      <c r="H2210" s="276" t="s">
        <v>1271</v>
      </c>
      <c r="W2210" s="253"/>
    </row>
    <row r="2211" spans="6:23" ht="20.25" customHeight="1">
      <c r="H2211" s="358" t="s">
        <v>1586</v>
      </c>
      <c r="W2211" s="253"/>
    </row>
    <row r="2212" spans="6:23" ht="20.25" customHeight="1">
      <c r="F2212" s="252">
        <v>1</v>
      </c>
      <c r="G2212" s="252" t="s">
        <v>868</v>
      </c>
      <c r="H2212" s="296" t="s">
        <v>805</v>
      </c>
      <c r="I2212" s="252">
        <f>C208</f>
        <v>166.15</v>
      </c>
      <c r="J2212" s="296" t="s">
        <v>868</v>
      </c>
      <c r="K2212" s="252">
        <f>(F2212*I2212)</f>
        <v>166.15</v>
      </c>
      <c r="W2212" s="253"/>
    </row>
    <row r="2213" spans="6:23" ht="20.25" customHeight="1">
      <c r="F2213" s="296" t="s">
        <v>975</v>
      </c>
      <c r="H2213" s="296" t="s">
        <v>57</v>
      </c>
      <c r="W2213" s="253"/>
    </row>
    <row r="2214" spans="6:23" ht="20.25" customHeight="1">
      <c r="F2214" s="296" t="s">
        <v>975</v>
      </c>
      <c r="H2214" s="296" t="s">
        <v>58</v>
      </c>
      <c r="I2214" s="253" t="s">
        <v>449</v>
      </c>
      <c r="K2214" s="252">
        <v>3</v>
      </c>
      <c r="W2214" s="253"/>
    </row>
    <row r="2215" spans="6:23" ht="20.25" customHeight="1">
      <c r="K2215" s="358" t="s">
        <v>1586</v>
      </c>
      <c r="W2215" s="253"/>
    </row>
    <row r="2216" spans="6:23" ht="20.25" customHeight="1">
      <c r="H2216" s="276" t="s">
        <v>2137</v>
      </c>
      <c r="K2216" s="252">
        <f>SUM(K2212:K2214)</f>
        <v>169.15</v>
      </c>
      <c r="W2216" s="253"/>
    </row>
    <row r="2217" spans="6:23" ht="20.25" customHeight="1">
      <c r="K2217" s="358" t="s">
        <v>1586</v>
      </c>
      <c r="W2217" s="253"/>
    </row>
    <row r="2218" spans="6:23" ht="20.25" customHeight="1">
      <c r="F2218" s="253" t="s">
        <v>1540</v>
      </c>
      <c r="H2218" s="276" t="s">
        <v>1541</v>
      </c>
      <c r="W2218" s="253"/>
    </row>
    <row r="2219" spans="6:23" ht="20.25" customHeight="1">
      <c r="H2219" s="276" t="s">
        <v>1070</v>
      </c>
      <c r="W2219" s="253"/>
    </row>
    <row r="2220" spans="6:23" ht="20.25" customHeight="1">
      <c r="H2220" s="358" t="s">
        <v>1586</v>
      </c>
      <c r="W2220" s="253"/>
    </row>
    <row r="2221" spans="6:23" ht="20.25" customHeight="1">
      <c r="F2221" s="252">
        <v>2.5</v>
      </c>
      <c r="G2221" s="252" t="s">
        <v>1071</v>
      </c>
      <c r="H2221" s="296" t="s">
        <v>1541</v>
      </c>
      <c r="I2221" s="252">
        <f>C588</f>
        <v>30</v>
      </c>
      <c r="J2221" s="296">
        <v>2.5</v>
      </c>
      <c r="K2221" s="523">
        <f>(F2221*I2221)/F2221</f>
        <v>30</v>
      </c>
      <c r="L2221" s="252">
        <f>1394*1.62-K2252</f>
        <v>-1861.7</v>
      </c>
      <c r="W2221" s="253"/>
    </row>
    <row r="2222" spans="6:23" ht="20.25" customHeight="1">
      <c r="H2222" s="296" t="s">
        <v>1072</v>
      </c>
      <c r="J2222" s="296" t="s">
        <v>1071</v>
      </c>
      <c r="K2222" s="523"/>
      <c r="W2222" s="253"/>
    </row>
    <row r="2223" spans="6:23" ht="20.25" customHeight="1">
      <c r="G2223" s="252" t="s">
        <v>449</v>
      </c>
      <c r="H2223" s="296" t="s">
        <v>1073</v>
      </c>
      <c r="J2223" s="296" t="s">
        <v>449</v>
      </c>
      <c r="K2223" s="434">
        <v>1.87</v>
      </c>
      <c r="W2223" s="253"/>
    </row>
    <row r="2224" spans="6:23" ht="20.25" customHeight="1">
      <c r="K2224" s="358" t="s">
        <v>1586</v>
      </c>
      <c r="W2224" s="253"/>
    </row>
    <row r="2225" spans="6:23" ht="20.25" customHeight="1">
      <c r="H2225" s="255" t="s">
        <v>221</v>
      </c>
      <c r="K2225" s="274">
        <f>SUM(K2221:K2223)</f>
        <v>31.87</v>
      </c>
      <c r="W2225" s="253"/>
    </row>
    <row r="2226" spans="6:23" ht="20.25" customHeight="1">
      <c r="K2226" s="358" t="s">
        <v>2055</v>
      </c>
      <c r="W2226" s="253"/>
    </row>
    <row r="2227" spans="6:23" ht="20.25" customHeight="1">
      <c r="W2227" s="253"/>
    </row>
    <row r="2228" spans="6:23" ht="20.25" customHeight="1">
      <c r="F2228" s="253" t="s">
        <v>1074</v>
      </c>
      <c r="G2228" s="252" t="s">
        <v>2251</v>
      </c>
      <c r="H2228" s="296" t="s">
        <v>273</v>
      </c>
      <c r="W2228" s="253"/>
    </row>
    <row r="2229" spans="6:23" ht="20.25" customHeight="1">
      <c r="H2229" s="296" t="s">
        <v>62</v>
      </c>
      <c r="W2229" s="253"/>
    </row>
    <row r="2230" spans="6:23" ht="20.25" customHeight="1">
      <c r="H2230" s="296" t="s">
        <v>370</v>
      </c>
      <c r="W2230" s="253"/>
    </row>
    <row r="2231" spans="6:23" ht="20.25" customHeight="1">
      <c r="H2231" s="296" t="s">
        <v>351</v>
      </c>
      <c r="W2231" s="253"/>
    </row>
    <row r="2232" spans="6:23" ht="20.25" customHeight="1">
      <c r="H2232" s="296" t="s">
        <v>432</v>
      </c>
      <c r="W2232" s="253"/>
    </row>
    <row r="2233" spans="6:23" ht="20.25" customHeight="1">
      <c r="H2233" s="296" t="s">
        <v>1479</v>
      </c>
      <c r="W2233" s="253"/>
    </row>
    <row r="2234" spans="6:23" ht="20.25" customHeight="1">
      <c r="H2234" s="296" t="s">
        <v>1867</v>
      </c>
      <c r="W2234" s="253"/>
    </row>
    <row r="2235" spans="6:23" ht="20.25" customHeight="1">
      <c r="H2235" s="296" t="s">
        <v>2203</v>
      </c>
      <c r="W2235" s="253"/>
    </row>
    <row r="2236" spans="6:23" ht="20.25" customHeight="1">
      <c r="H2236" s="296" t="s">
        <v>566</v>
      </c>
      <c r="W2236" s="253"/>
    </row>
    <row r="2237" spans="6:23" ht="20.25" customHeight="1">
      <c r="H2237" s="296" t="s">
        <v>1275</v>
      </c>
      <c r="W2237" s="253"/>
    </row>
    <row r="2238" spans="6:23" ht="20.25" customHeight="1">
      <c r="H2238" s="296" t="s">
        <v>1276</v>
      </c>
      <c r="W2238" s="253"/>
    </row>
    <row r="2239" spans="6:23" ht="20.25" customHeight="1">
      <c r="H2239" s="296" t="s">
        <v>1277</v>
      </c>
      <c r="W2239" s="253"/>
    </row>
    <row r="2240" spans="6:23" ht="20.25" customHeight="1">
      <c r="H2240" s="358" t="s">
        <v>1586</v>
      </c>
      <c r="I2240" s="358" t="s">
        <v>1586</v>
      </c>
      <c r="W2240" s="253"/>
    </row>
    <row r="2241" spans="6:23" ht="20.25" customHeight="1">
      <c r="F2241" s="296" t="s">
        <v>975</v>
      </c>
      <c r="W2241" s="253"/>
    </row>
    <row r="2242" spans="6:23" ht="20.25" customHeight="1">
      <c r="F2242" s="316">
        <v>1.7399999999999999E-2</v>
      </c>
      <c r="G2242" s="252" t="s">
        <v>2151</v>
      </c>
      <c r="H2242" s="296" t="s">
        <v>1278</v>
      </c>
      <c r="I2242" s="252">
        <f>C86</f>
        <v>34300</v>
      </c>
      <c r="J2242" s="296" t="s">
        <v>2151</v>
      </c>
      <c r="K2242" s="252">
        <f t="shared" ref="K2242:K2249" si="248">F2242*I2242</f>
        <v>596.82000000000005</v>
      </c>
      <c r="W2242" s="253"/>
    </row>
    <row r="2243" spans="6:23" ht="20.25" customHeight="1">
      <c r="F2243" s="316">
        <v>2.93E-2</v>
      </c>
      <c r="G2243" s="252" t="s">
        <v>2151</v>
      </c>
      <c r="H2243" s="296" t="s">
        <v>1279</v>
      </c>
      <c r="I2243" s="252">
        <f>C87</f>
        <v>39400</v>
      </c>
      <c r="J2243" s="296" t="s">
        <v>2151</v>
      </c>
      <c r="K2243" s="252">
        <f t="shared" si="248"/>
        <v>1154.42</v>
      </c>
      <c r="W2243" s="253"/>
    </row>
    <row r="2244" spans="6:23" ht="20.25" customHeight="1">
      <c r="F2244" s="316">
        <v>1.093</v>
      </c>
      <c r="G2244" s="252" t="s">
        <v>2283</v>
      </c>
      <c r="H2244" s="296" t="s">
        <v>1280</v>
      </c>
      <c r="I2244" s="252">
        <f>C199</f>
        <v>379.9</v>
      </c>
      <c r="J2244" s="296" t="s">
        <v>2283</v>
      </c>
      <c r="K2244" s="252">
        <f t="shared" si="248"/>
        <v>415.23</v>
      </c>
      <c r="W2244" s="253"/>
    </row>
    <row r="2245" spans="6:23" ht="20.25" customHeight="1">
      <c r="F2245" s="252">
        <v>6</v>
      </c>
      <c r="G2245" s="252" t="s">
        <v>560</v>
      </c>
      <c r="H2245" s="296" t="s">
        <v>1145</v>
      </c>
      <c r="I2245" s="252">
        <f>C297</f>
        <v>7</v>
      </c>
      <c r="J2245" s="296" t="s">
        <v>1398</v>
      </c>
      <c r="K2245" s="252">
        <f t="shared" si="248"/>
        <v>42</v>
      </c>
      <c r="W2245" s="253"/>
    </row>
    <row r="2246" spans="6:23" ht="20.25" customHeight="1">
      <c r="F2246" s="252">
        <v>1</v>
      </c>
      <c r="G2246" s="252" t="s">
        <v>560</v>
      </c>
      <c r="H2246" s="296" t="s">
        <v>2217</v>
      </c>
      <c r="I2246" s="252">
        <f>C287</f>
        <v>101.6</v>
      </c>
      <c r="J2246" s="296" t="s">
        <v>1398</v>
      </c>
      <c r="K2246" s="252">
        <f t="shared" si="248"/>
        <v>101.6</v>
      </c>
      <c r="W2246" s="253"/>
    </row>
    <row r="2247" spans="6:23" ht="20.25" customHeight="1">
      <c r="F2247" s="252">
        <v>2</v>
      </c>
      <c r="G2247" s="252" t="s">
        <v>560</v>
      </c>
      <c r="H2247" s="296" t="s">
        <v>1749</v>
      </c>
      <c r="I2247" s="252">
        <f>C308</f>
        <v>3</v>
      </c>
      <c r="J2247" s="296" t="s">
        <v>1398</v>
      </c>
      <c r="K2247" s="252">
        <f t="shared" si="248"/>
        <v>6</v>
      </c>
      <c r="W2247" s="253"/>
    </row>
    <row r="2248" spans="6:23" ht="20.25" customHeight="1">
      <c r="F2248" s="252">
        <v>6</v>
      </c>
      <c r="G2248" s="252" t="s">
        <v>560</v>
      </c>
      <c r="H2248" s="296" t="s">
        <v>139</v>
      </c>
      <c r="I2248" s="524">
        <v>10.5</v>
      </c>
      <c r="J2248" s="296" t="s">
        <v>1398</v>
      </c>
      <c r="K2248" s="252">
        <f t="shared" si="248"/>
        <v>63</v>
      </c>
      <c r="W2248" s="253"/>
    </row>
    <row r="2249" spans="6:23" ht="20.25" customHeight="1">
      <c r="F2249" s="356">
        <v>1.62</v>
      </c>
      <c r="G2249" s="252" t="s">
        <v>2283</v>
      </c>
      <c r="H2249" s="296" t="s">
        <v>140</v>
      </c>
      <c r="I2249" s="252">
        <f>D33</f>
        <v>1072</v>
      </c>
      <c r="J2249" s="296" t="s">
        <v>2283</v>
      </c>
      <c r="K2249" s="252">
        <f t="shared" si="248"/>
        <v>1736.64</v>
      </c>
      <c r="W2249" s="253"/>
    </row>
    <row r="2250" spans="6:23" ht="20.25" customHeight="1">
      <c r="G2250" s="252" t="s">
        <v>449</v>
      </c>
      <c r="H2250" s="296" t="s">
        <v>509</v>
      </c>
      <c r="J2250" s="296" t="s">
        <v>449</v>
      </c>
      <c r="K2250" s="252">
        <v>4.2699999999999996</v>
      </c>
      <c r="W2250" s="253"/>
    </row>
    <row r="2251" spans="6:23" ht="20.25" customHeight="1">
      <c r="K2251" s="358" t="s">
        <v>1586</v>
      </c>
      <c r="W2251" s="253"/>
    </row>
    <row r="2252" spans="6:23" ht="20.25" customHeight="1">
      <c r="H2252" s="255" t="s">
        <v>141</v>
      </c>
      <c r="K2252" s="274">
        <f>SUM(K2242:K2250)</f>
        <v>4119.9799999999996</v>
      </c>
      <c r="W2252" s="253"/>
    </row>
    <row r="2253" spans="6:23" ht="20.25" customHeight="1">
      <c r="K2253" s="388" t="s">
        <v>1586</v>
      </c>
      <c r="W2253" s="253"/>
    </row>
    <row r="2254" spans="6:23" ht="20.25" customHeight="1">
      <c r="K2254" s="274"/>
      <c r="W2254" s="253"/>
    </row>
    <row r="2255" spans="6:23" ht="20.25" customHeight="1">
      <c r="H2255" s="255" t="s">
        <v>142</v>
      </c>
      <c r="I2255" s="296" t="s">
        <v>975</v>
      </c>
      <c r="K2255" s="274">
        <f>K2252/1.62</f>
        <v>2543.1999999999998</v>
      </c>
      <c r="M2255" s="252">
        <f>1921*1.62</f>
        <v>3112.02</v>
      </c>
      <c r="W2255" s="253"/>
    </row>
    <row r="2256" spans="6:23" ht="20.25" customHeight="1">
      <c r="F2256" s="296" t="s">
        <v>975</v>
      </c>
      <c r="G2256" s="252" t="s">
        <v>975</v>
      </c>
      <c r="H2256" s="296" t="s">
        <v>975</v>
      </c>
      <c r="I2256" s="296" t="s">
        <v>975</v>
      </c>
      <c r="J2256" s="296" t="s">
        <v>975</v>
      </c>
      <c r="M2256" s="252">
        <f>M2255-K2252</f>
        <v>-1007.96</v>
      </c>
      <c r="W2256" s="253"/>
    </row>
    <row r="2257" spans="6:23" ht="20.25" customHeight="1">
      <c r="W2257" s="253"/>
    </row>
    <row r="2258" spans="6:23" ht="20.25" customHeight="1">
      <c r="G2258" s="252" t="s">
        <v>1539</v>
      </c>
      <c r="H2258" s="276" t="s">
        <v>1393</v>
      </c>
      <c r="W2258" s="253"/>
    </row>
    <row r="2259" spans="6:23" ht="20.25" customHeight="1">
      <c r="H2259" s="296" t="s">
        <v>797</v>
      </c>
      <c r="L2259" s="252">
        <f>3.6*1.1</f>
        <v>3.96</v>
      </c>
      <c r="W2259" s="253"/>
    </row>
    <row r="2260" spans="6:23" ht="20.25" customHeight="1">
      <c r="F2260" s="296" t="s">
        <v>975</v>
      </c>
      <c r="H2260" s="296" t="s">
        <v>798</v>
      </c>
      <c r="L2260" s="252">
        <f>3.6*1.6</f>
        <v>5.76</v>
      </c>
      <c r="W2260" s="253"/>
    </row>
    <row r="2261" spans="6:23" ht="20.25" customHeight="1">
      <c r="F2261" s="253" t="s">
        <v>799</v>
      </c>
      <c r="H2261" s="296" t="s">
        <v>2178</v>
      </c>
      <c r="K2261" s="372">
        <f>Elec.Data!K29</f>
        <v>1692.1</v>
      </c>
      <c r="W2261" s="253"/>
    </row>
    <row r="2262" spans="6:23" ht="20.25" customHeight="1">
      <c r="F2262" s="253" t="s">
        <v>800</v>
      </c>
      <c r="H2262" s="253" t="s">
        <v>774</v>
      </c>
      <c r="K2262" s="372">
        <f>Elec.Data!K53</f>
        <v>1695.1</v>
      </c>
      <c r="W2262" s="253"/>
    </row>
    <row r="2263" spans="6:23" ht="20.25" customHeight="1">
      <c r="F2263" s="253" t="s">
        <v>801</v>
      </c>
      <c r="H2263" s="296" t="s">
        <v>1268</v>
      </c>
      <c r="K2263" s="372">
        <f>Elec.Data!K68</f>
        <v>1732.1</v>
      </c>
      <c r="W2263" s="253"/>
    </row>
    <row r="2264" spans="6:23" ht="20.25" customHeight="1">
      <c r="F2264" s="369">
        <v>65</v>
      </c>
      <c r="H2264" s="296" t="s">
        <v>776</v>
      </c>
      <c r="K2264" s="372">
        <f>Elec.Data!K90</f>
        <v>1767.1</v>
      </c>
      <c r="W2264" s="253"/>
    </row>
    <row r="2265" spans="6:23" ht="20.25" customHeight="1">
      <c r="F2265" s="369">
        <v>66</v>
      </c>
      <c r="H2265" s="296" t="s">
        <v>612</v>
      </c>
      <c r="K2265" s="372">
        <f>Elec.Data!K114</f>
        <v>3176.2</v>
      </c>
      <c r="W2265" s="253"/>
    </row>
    <row r="2266" spans="6:23" ht="20.25" customHeight="1">
      <c r="F2266" s="369">
        <v>67</v>
      </c>
      <c r="H2266" s="296" t="s">
        <v>570</v>
      </c>
      <c r="K2266" s="372">
        <f>Elec.Data!K146</f>
        <v>869.5</v>
      </c>
      <c r="W2266" s="253"/>
    </row>
    <row r="2267" spans="6:23" ht="20.25" customHeight="1">
      <c r="F2267" s="369">
        <v>68</v>
      </c>
      <c r="H2267" s="296" t="s">
        <v>838</v>
      </c>
      <c r="K2267" s="372">
        <f>Elec.Data!K134</f>
        <v>1174.4000000000001</v>
      </c>
      <c r="W2267" s="253"/>
    </row>
    <row r="2268" spans="6:23" ht="20.25" customHeight="1">
      <c r="F2268" s="369">
        <v>69</v>
      </c>
      <c r="H2268" s="296" t="s">
        <v>802</v>
      </c>
      <c r="K2268" s="372">
        <f>Elec.Data!K157</f>
        <v>150</v>
      </c>
      <c r="W2268" s="253"/>
    </row>
    <row r="2269" spans="6:23" ht="20.25" customHeight="1">
      <c r="F2269" s="369" t="s">
        <v>803</v>
      </c>
      <c r="H2269" s="296" t="s">
        <v>498</v>
      </c>
      <c r="K2269" s="372">
        <f>Elec.Data!K304</f>
        <v>529.20000000000005</v>
      </c>
      <c r="W2269" s="253"/>
    </row>
    <row r="2270" spans="6:23" ht="20.25" customHeight="1">
      <c r="F2270" s="369" t="s">
        <v>293</v>
      </c>
      <c r="H2270" s="296" t="s">
        <v>289</v>
      </c>
      <c r="J2270" s="253"/>
      <c r="K2270" s="372"/>
      <c r="L2270" s="252">
        <f>37.7*90</f>
        <v>3393</v>
      </c>
      <c r="W2270" s="253"/>
    </row>
    <row r="2271" spans="6:23" ht="20.25" customHeight="1">
      <c r="F2271" s="369" t="s">
        <v>1942</v>
      </c>
      <c r="H2271" s="296" t="s">
        <v>1502</v>
      </c>
      <c r="K2271" s="362">
        <v>9.4</v>
      </c>
      <c r="W2271" s="253"/>
    </row>
    <row r="2272" spans="6:23" ht="20.25" customHeight="1">
      <c r="F2272" s="369" t="s">
        <v>1943</v>
      </c>
      <c r="H2272" s="296" t="s">
        <v>582</v>
      </c>
      <c r="K2272" s="420">
        <v>10</v>
      </c>
      <c r="W2272" s="253"/>
    </row>
    <row r="2273" spans="6:23" ht="20.25" customHeight="1">
      <c r="F2273" s="369">
        <v>71</v>
      </c>
      <c r="H2273" s="296" t="s">
        <v>1156</v>
      </c>
      <c r="K2273" s="372">
        <f>Elec.Data!K342</f>
        <v>1372.85</v>
      </c>
      <c r="W2273" s="253"/>
    </row>
    <row r="2274" spans="6:23" ht="20.25" customHeight="1">
      <c r="F2274" s="369">
        <v>72</v>
      </c>
      <c r="H2274" s="296" t="s">
        <v>804</v>
      </c>
      <c r="K2274" s="420">
        <v>33.9</v>
      </c>
      <c r="W2274" s="253"/>
    </row>
    <row r="2275" spans="6:23" ht="20.25" customHeight="1">
      <c r="F2275" s="369" t="s">
        <v>583</v>
      </c>
      <c r="H2275" s="296" t="s">
        <v>275</v>
      </c>
      <c r="K2275" s="372">
        <f>Elec.Data!K402</f>
        <v>4248.34</v>
      </c>
      <c r="W2275" s="253"/>
    </row>
    <row r="2276" spans="6:23" ht="20.25" customHeight="1">
      <c r="F2276" s="369" t="s">
        <v>584</v>
      </c>
      <c r="H2276" s="296" t="s">
        <v>585</v>
      </c>
      <c r="K2276" s="372">
        <f>Elec.Data!K390</f>
        <v>3466.34</v>
      </c>
      <c r="W2276" s="253"/>
    </row>
    <row r="2277" spans="6:23" ht="20.25" customHeight="1">
      <c r="F2277" s="369">
        <v>74</v>
      </c>
      <c r="H2277" s="296" t="s">
        <v>162</v>
      </c>
      <c r="K2277" s="372">
        <f>Elec.Data!K446</f>
        <v>601.20000000000005</v>
      </c>
      <c r="W2277" s="253"/>
    </row>
    <row r="2278" spans="6:23" ht="20.25" customHeight="1">
      <c r="F2278" s="369" t="s">
        <v>632</v>
      </c>
      <c r="H2278" s="296" t="s">
        <v>1259</v>
      </c>
      <c r="K2278" s="314">
        <v>1265</v>
      </c>
      <c r="W2278" s="253"/>
    </row>
    <row r="2279" spans="6:23" ht="20.25" customHeight="1">
      <c r="F2279" s="369" t="s">
        <v>633</v>
      </c>
      <c r="H2279" s="296" t="s">
        <v>131</v>
      </c>
      <c r="W2279" s="253"/>
    </row>
    <row r="2280" spans="6:23" ht="20.25" customHeight="1">
      <c r="F2280" s="369">
        <v>112</v>
      </c>
      <c r="H2280" s="296" t="s">
        <v>746</v>
      </c>
      <c r="K2280" s="372">
        <f>Elec.Data!K913</f>
        <v>2363.25</v>
      </c>
      <c r="W2280" s="253"/>
    </row>
    <row r="2281" spans="6:23" ht="20.25" customHeight="1">
      <c r="F2281" s="369">
        <v>76</v>
      </c>
      <c r="H2281" s="296" t="s">
        <v>1931</v>
      </c>
      <c r="K2281" s="372">
        <f>Elec.Data!K463</f>
        <v>27.13</v>
      </c>
      <c r="W2281" s="253"/>
    </row>
    <row r="2282" spans="6:23" ht="20.25" customHeight="1">
      <c r="F2282" s="369">
        <v>77</v>
      </c>
      <c r="H2282" s="296" t="s">
        <v>2268</v>
      </c>
      <c r="K2282" s="372">
        <f>Elec.Data!K249</f>
        <v>214.9</v>
      </c>
      <c r="W2282" s="253"/>
    </row>
    <row r="2283" spans="6:23" ht="20.25" customHeight="1">
      <c r="F2283" s="390">
        <v>77.099999999999994</v>
      </c>
      <c r="H2283" s="389" t="s">
        <v>1807</v>
      </c>
      <c r="K2283" s="525">
        <f>Elec.Data!K274</f>
        <v>272.89999999999998</v>
      </c>
      <c r="W2283" s="253"/>
    </row>
    <row r="2284" spans="6:23" ht="20.25" customHeight="1">
      <c r="F2284" s="375">
        <v>77.2</v>
      </c>
      <c r="H2284" s="296" t="s">
        <v>1808</v>
      </c>
      <c r="K2284" s="314">
        <v>500</v>
      </c>
      <c r="W2284" s="253"/>
    </row>
    <row r="2285" spans="6:23" ht="20.25" customHeight="1">
      <c r="F2285" s="375">
        <v>77.3</v>
      </c>
      <c r="H2285" s="296" t="s">
        <v>1501</v>
      </c>
      <c r="K2285" s="314">
        <f>Elec.Data!K881</f>
        <v>77.010000000000005</v>
      </c>
      <c r="W2285" s="253"/>
    </row>
    <row r="2286" spans="6:23" ht="20.25" customHeight="1">
      <c r="F2286" s="369">
        <v>78</v>
      </c>
      <c r="H2286" s="296" t="s">
        <v>79</v>
      </c>
      <c r="K2286" s="372">
        <f>Elec.Data!K488</f>
        <v>2997.6</v>
      </c>
      <c r="W2286" s="253"/>
    </row>
    <row r="2287" spans="6:23" ht="20.25" customHeight="1">
      <c r="F2287" s="369">
        <v>80</v>
      </c>
      <c r="H2287" s="296" t="s">
        <v>2116</v>
      </c>
      <c r="K2287" s="372">
        <f>Elec.Data!K610</f>
        <v>846</v>
      </c>
      <c r="W2287" s="253"/>
    </row>
    <row r="2288" spans="6:23" ht="20.25" customHeight="1">
      <c r="F2288" s="369">
        <v>81</v>
      </c>
      <c r="H2288" s="296" t="s">
        <v>91</v>
      </c>
      <c r="K2288" s="252">
        <f>K2255</f>
        <v>2543.1999999999998</v>
      </c>
      <c r="W2288" s="253"/>
    </row>
    <row r="2289" spans="6:33" ht="20.25" customHeight="1">
      <c r="F2289" s="369">
        <v>82</v>
      </c>
      <c r="H2289" s="296" t="s">
        <v>1549</v>
      </c>
      <c r="K2289" s="372">
        <f>Elec.Data!K807</f>
        <v>3037.67</v>
      </c>
      <c r="W2289" s="253"/>
    </row>
    <row r="2290" spans="6:33" ht="20.25" customHeight="1">
      <c r="F2290" s="369">
        <v>87</v>
      </c>
      <c r="H2290" s="296" t="s">
        <v>1762</v>
      </c>
      <c r="K2290" s="372">
        <f>Elec.Data!K627</f>
        <v>2717.8</v>
      </c>
      <c r="W2290" s="253"/>
    </row>
    <row r="2291" spans="6:33" ht="20.25" customHeight="1">
      <c r="H2291" s="526" t="s">
        <v>1919</v>
      </c>
      <c r="K2291" s="372">
        <f>Elec.Data!K931</f>
        <v>2176.4</v>
      </c>
      <c r="W2291" s="253"/>
    </row>
    <row r="2292" spans="6:33" ht="20.25" customHeight="1">
      <c r="H2292" s="296" t="s">
        <v>263</v>
      </c>
      <c r="K2292" s="314">
        <v>137</v>
      </c>
      <c r="W2292" s="253"/>
    </row>
    <row r="2293" spans="6:33" ht="20.25" customHeight="1">
      <c r="F2293" s="441">
        <v>77.400000000000006</v>
      </c>
      <c r="H2293" s="258" t="s">
        <v>1722</v>
      </c>
      <c r="M2293" s="441">
        <v>77.400000000000006</v>
      </c>
      <c r="O2293" s="258" t="s">
        <v>4714</v>
      </c>
      <c r="Q2293" s="296"/>
      <c r="W2293" s="253"/>
    </row>
    <row r="2294" spans="6:33" ht="20.25" customHeight="1">
      <c r="H2294" s="296" t="s">
        <v>797</v>
      </c>
      <c r="O2294" s="296" t="s">
        <v>797</v>
      </c>
      <c r="Q2294" s="296"/>
      <c r="W2294" s="253"/>
    </row>
    <row r="2295" spans="6:33" ht="20.25" customHeight="1">
      <c r="F2295" s="252">
        <v>90</v>
      </c>
      <c r="G2295" s="252" t="s">
        <v>372</v>
      </c>
      <c r="H2295" s="268" t="s">
        <v>5327</v>
      </c>
      <c r="I2295" s="527">
        <v>20</v>
      </c>
      <c r="J2295" s="296" t="s">
        <v>372</v>
      </c>
      <c r="K2295" s="252">
        <f>I2295*F2295</f>
        <v>1800</v>
      </c>
      <c r="M2295" s="252">
        <v>90</v>
      </c>
      <c r="N2295" s="252" t="s">
        <v>372</v>
      </c>
      <c r="O2295" s="268" t="s">
        <v>4597</v>
      </c>
      <c r="P2295" s="527">
        <v>20</v>
      </c>
      <c r="Q2295" s="296" t="s">
        <v>372</v>
      </c>
      <c r="R2295" s="252">
        <f>P2295*M2295</f>
        <v>1800</v>
      </c>
      <c r="W2295" s="253"/>
    </row>
    <row r="2296" spans="6:33" ht="20.25"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0.25"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0.25"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0.25"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0.25" customHeight="1">
      <c r="H2300" s="252" t="s">
        <v>373</v>
      </c>
      <c r="K2300" s="252">
        <v>11.5</v>
      </c>
      <c r="O2300" s="252" t="s">
        <v>373</v>
      </c>
      <c r="Q2300" s="296"/>
      <c r="R2300" s="252">
        <v>11.5</v>
      </c>
      <c r="W2300" s="253"/>
    </row>
    <row r="2301" spans="6:33" ht="20.25" customHeight="1">
      <c r="K2301" s="358" t="s">
        <v>1586</v>
      </c>
      <c r="Q2301" s="296"/>
      <c r="R2301" s="358" t="s">
        <v>1586</v>
      </c>
      <c r="W2301" s="253"/>
    </row>
    <row r="2302" spans="6:33" ht="20.25" customHeight="1">
      <c r="H2302" s="296" t="s">
        <v>2267</v>
      </c>
      <c r="K2302" s="252">
        <f>SUM(K2295:K2300)</f>
        <v>7983.5</v>
      </c>
      <c r="O2302" s="296" t="s">
        <v>2267</v>
      </c>
      <c r="Q2302" s="296"/>
      <c r="R2302" s="252">
        <f>SUM(R2295:R2300)</f>
        <v>7983.5</v>
      </c>
      <c r="W2302" s="253"/>
    </row>
    <row r="2303" spans="6:33" ht="20.25" customHeight="1">
      <c r="K2303" s="358" t="s">
        <v>1586</v>
      </c>
      <c r="Q2303" s="296"/>
      <c r="R2303" s="358" t="s">
        <v>1586</v>
      </c>
      <c r="W2303" s="253"/>
    </row>
    <row r="2304" spans="6:33" ht="20.25" customHeight="1">
      <c r="H2304" s="296" t="s">
        <v>1123</v>
      </c>
      <c r="K2304" s="252">
        <f>(K2302/90)</f>
        <v>88.71</v>
      </c>
      <c r="O2304" s="296" t="s">
        <v>1123</v>
      </c>
      <c r="Q2304" s="296"/>
      <c r="R2304" s="252">
        <f>(R2302/90)</f>
        <v>88.71</v>
      </c>
      <c r="W2304" s="253"/>
      <c r="AG2304" s="252">
        <v>0</v>
      </c>
    </row>
    <row r="2305" spans="5:253" ht="20.25" customHeight="1">
      <c r="K2305" s="358" t="s">
        <v>2055</v>
      </c>
      <c r="W2305" s="253"/>
      <c r="IS2305" s="252">
        <v>0</v>
      </c>
    </row>
    <row r="2306" spans="5:253" ht="20.25" customHeight="1">
      <c r="W2306" s="253"/>
    </row>
    <row r="2307" spans="5:253" ht="20.25" customHeight="1">
      <c r="F2307" s="375">
        <v>78.099999999999994</v>
      </c>
      <c r="H2307" s="276" t="s">
        <v>1560</v>
      </c>
      <c r="L2307" s="252">
        <f>31.5+85</f>
        <v>116.5</v>
      </c>
      <c r="W2307" s="253"/>
    </row>
    <row r="2308" spans="5:253" ht="20.25" customHeight="1">
      <c r="H2308" s="296" t="s">
        <v>797</v>
      </c>
      <c r="L2308" s="252">
        <f>L2307*10%</f>
        <v>11.65</v>
      </c>
      <c r="W2308" s="253"/>
    </row>
    <row r="2309" spans="5:253" ht="20.25" customHeight="1">
      <c r="F2309" s="252">
        <v>2.5</v>
      </c>
      <c r="G2309" s="252" t="s">
        <v>769</v>
      </c>
      <c r="H2309" s="252" t="s">
        <v>1561</v>
      </c>
      <c r="I2309" s="252">
        <f>C395</f>
        <v>163</v>
      </c>
      <c r="J2309" s="296" t="s">
        <v>769</v>
      </c>
      <c r="K2309" s="252">
        <f t="shared" ref="K2309:K2314" si="249">I2309*F2309</f>
        <v>407.5</v>
      </c>
      <c r="W2309" s="253"/>
    </row>
    <row r="2310" spans="5:253" ht="20.25" customHeight="1">
      <c r="F2310" s="252">
        <v>20</v>
      </c>
      <c r="G2310" s="252" t="s">
        <v>359</v>
      </c>
      <c r="H2310" s="264" t="s">
        <v>5873</v>
      </c>
      <c r="I2310" s="305">
        <v>5</v>
      </c>
      <c r="J2310" s="296" t="s">
        <v>359</v>
      </c>
      <c r="K2310" s="252">
        <f t="shared" si="249"/>
        <v>100</v>
      </c>
      <c r="W2310" s="253"/>
    </row>
    <row r="2311" spans="5:253" ht="20.25" customHeight="1">
      <c r="F2311" s="252">
        <v>9</v>
      </c>
      <c r="G2311" s="252" t="s">
        <v>359</v>
      </c>
      <c r="H2311" s="362" t="s">
        <v>5874</v>
      </c>
      <c r="I2311" s="362">
        <v>3.7</v>
      </c>
      <c r="J2311" s="296" t="s">
        <v>359</v>
      </c>
      <c r="K2311" s="252">
        <f t="shared" si="249"/>
        <v>33.299999999999997</v>
      </c>
      <c r="W2311" s="253"/>
    </row>
    <row r="2312" spans="5:253" ht="20.25" customHeight="1">
      <c r="F2312" s="252">
        <v>0.5</v>
      </c>
      <c r="G2312" s="252" t="s">
        <v>359</v>
      </c>
      <c r="H2312" s="252" t="s">
        <v>5875</v>
      </c>
      <c r="I2312" s="527">
        <v>101.5</v>
      </c>
      <c r="J2312" s="296" t="s">
        <v>359</v>
      </c>
      <c r="K2312" s="252">
        <f t="shared" si="249"/>
        <v>50.75</v>
      </c>
      <c r="W2312" s="253"/>
    </row>
    <row r="2313" spans="5:253" ht="20.25" customHeight="1">
      <c r="E2313" s="356">
        <f>25.2/5</f>
        <v>5.04</v>
      </c>
      <c r="F2313" s="252">
        <v>0.5</v>
      </c>
      <c r="G2313" s="252" t="s">
        <v>769</v>
      </c>
      <c r="H2313" s="252" t="s">
        <v>1284</v>
      </c>
      <c r="I2313" s="252">
        <f>I2297</f>
        <v>826</v>
      </c>
      <c r="J2313" s="296" t="s">
        <v>769</v>
      </c>
      <c r="K2313" s="252">
        <f t="shared" si="249"/>
        <v>413</v>
      </c>
      <c r="W2313" s="253"/>
    </row>
    <row r="2314" spans="5:253" ht="20.25" customHeight="1">
      <c r="F2314" s="252">
        <v>1</v>
      </c>
      <c r="G2314" s="252" t="s">
        <v>769</v>
      </c>
      <c r="H2314" s="252" t="s">
        <v>1285</v>
      </c>
      <c r="I2314" s="252">
        <f>I2299</f>
        <v>644</v>
      </c>
      <c r="J2314" s="296" t="s">
        <v>769</v>
      </c>
      <c r="K2314" s="252">
        <f t="shared" si="249"/>
        <v>644</v>
      </c>
      <c r="W2314" s="253"/>
    </row>
    <row r="2315" spans="5:253" ht="20.25" customHeight="1">
      <c r="G2315" s="252" t="s">
        <v>657</v>
      </c>
      <c r="H2315" s="262" t="s">
        <v>1286</v>
      </c>
      <c r="J2315" s="296" t="s">
        <v>657</v>
      </c>
      <c r="K2315" s="252">
        <v>200</v>
      </c>
      <c r="W2315" s="253"/>
    </row>
    <row r="2316" spans="5:253" ht="20.25" customHeight="1">
      <c r="G2316" s="252" t="s">
        <v>657</v>
      </c>
      <c r="H2316" s="252" t="s">
        <v>1210</v>
      </c>
      <c r="J2316" s="296" t="s">
        <v>657</v>
      </c>
      <c r="K2316" s="252">
        <v>8.32</v>
      </c>
      <c r="W2316" s="253"/>
    </row>
    <row r="2317" spans="5:253" ht="20.25" customHeight="1">
      <c r="K2317" s="358" t="s">
        <v>1586</v>
      </c>
      <c r="W2317" s="253"/>
    </row>
    <row r="2318" spans="5:253" ht="20.25" customHeight="1">
      <c r="H2318" s="252" t="s">
        <v>283</v>
      </c>
      <c r="K2318" s="252">
        <f>SUM(K2309:K2316)</f>
        <v>1856.87</v>
      </c>
      <c r="L2318" s="252">
        <f>K2352/3</f>
        <v>32.85</v>
      </c>
      <c r="W2318" s="253"/>
    </row>
    <row r="2319" spans="5:253" ht="20.25" customHeight="1">
      <c r="K2319" s="358" t="s">
        <v>1586</v>
      </c>
      <c r="W2319" s="253"/>
    </row>
    <row r="2320" spans="5:253" ht="20.25" customHeight="1">
      <c r="H2320" s="274" t="s">
        <v>2229</v>
      </c>
      <c r="W2320" s="253"/>
    </row>
    <row r="2321" spans="6:23" ht="20.25" customHeight="1">
      <c r="F2321" s="252">
        <v>0.7</v>
      </c>
      <c r="G2321" s="252" t="s">
        <v>769</v>
      </c>
      <c r="H2321" s="252" t="s">
        <v>653</v>
      </c>
      <c r="I2321" s="252">
        <f>C17</f>
        <v>881</v>
      </c>
      <c r="J2321" s="296" t="s">
        <v>1398</v>
      </c>
      <c r="K2321" s="252">
        <f>I2321*F2321</f>
        <v>616.70000000000005</v>
      </c>
      <c r="S2321" s="356">
        <f>R2359+R2360</f>
        <v>884</v>
      </c>
      <c r="W2321" s="253"/>
    </row>
    <row r="2322" spans="6:23" ht="20.25" customHeight="1">
      <c r="F2322" s="252">
        <v>0.5</v>
      </c>
      <c r="G2322" s="252" t="s">
        <v>769</v>
      </c>
      <c r="H2322" s="252" t="s">
        <v>654</v>
      </c>
      <c r="I2322" s="252">
        <f>C12</f>
        <v>651</v>
      </c>
      <c r="J2322" s="296" t="s">
        <v>1398</v>
      </c>
      <c r="K2322" s="252">
        <f>I2322*F2322</f>
        <v>325.5</v>
      </c>
      <c r="W2322" s="253"/>
    </row>
    <row r="2323" spans="6:23" ht="20.25" customHeight="1">
      <c r="H2323" s="252" t="s">
        <v>2230</v>
      </c>
      <c r="K2323" s="252">
        <f>SUM(K2321:K2322)</f>
        <v>942.2</v>
      </c>
      <c r="W2323" s="253"/>
    </row>
    <row r="2324" spans="6:23" ht="20.25" customHeight="1">
      <c r="H2324" s="252" t="s">
        <v>437</v>
      </c>
      <c r="K2324" s="274">
        <f>K2323/8.16</f>
        <v>115.47</v>
      </c>
      <c r="W2324" s="253"/>
    </row>
    <row r="2325" spans="6:23" ht="20.25" customHeight="1">
      <c r="W2325" s="253"/>
    </row>
    <row r="2326" spans="6:23" ht="20.25" customHeight="1">
      <c r="H2326" s="274" t="s">
        <v>1820</v>
      </c>
      <c r="W2326" s="253"/>
    </row>
    <row r="2327" spans="6:23" ht="20.25" customHeight="1">
      <c r="F2327" s="252">
        <v>2</v>
      </c>
      <c r="G2327" s="252" t="s">
        <v>913</v>
      </c>
      <c r="H2327" s="252" t="s">
        <v>5328</v>
      </c>
      <c r="I2327" s="527">
        <v>62.1</v>
      </c>
      <c r="J2327" s="296" t="s">
        <v>913</v>
      </c>
      <c r="K2327" s="252">
        <f>I2327*F2327</f>
        <v>124.2</v>
      </c>
      <c r="W2327" s="253"/>
    </row>
    <row r="2328" spans="6:23" ht="20.25" customHeight="1">
      <c r="F2328" s="252">
        <v>0.2</v>
      </c>
      <c r="G2328" s="252" t="s">
        <v>913</v>
      </c>
      <c r="H2328" s="252" t="s">
        <v>1821</v>
      </c>
      <c r="I2328" s="252">
        <f>C143/1000</f>
        <v>56.35</v>
      </c>
      <c r="J2328" s="296" t="s">
        <v>913</v>
      </c>
      <c r="K2328" s="252">
        <f>I2328*F2328</f>
        <v>11.27</v>
      </c>
      <c r="W2328" s="253"/>
    </row>
    <row r="2329" spans="6:23" ht="20.25" customHeight="1">
      <c r="F2329" s="252">
        <v>2</v>
      </c>
      <c r="G2329" s="252" t="s">
        <v>913</v>
      </c>
      <c r="H2329" s="252" t="s">
        <v>1822</v>
      </c>
      <c r="I2329" s="252">
        <f>K2324</f>
        <v>115.47</v>
      </c>
      <c r="J2329" s="296" t="s">
        <v>913</v>
      </c>
      <c r="K2329" s="252">
        <f>I2329*F2329</f>
        <v>230.94</v>
      </c>
      <c r="W2329" s="253"/>
    </row>
    <row r="2330" spans="6:23" ht="20.25" customHeight="1">
      <c r="H2330" s="252" t="s">
        <v>1823</v>
      </c>
      <c r="K2330" s="252">
        <f>SUM(K2327:K2329)</f>
        <v>366.41</v>
      </c>
      <c r="W2330" s="253"/>
    </row>
    <row r="2331" spans="6:23" ht="20.25" customHeight="1">
      <c r="H2331" s="252" t="s">
        <v>1824</v>
      </c>
      <c r="K2331" s="274">
        <f>K2330/10</f>
        <v>36.64</v>
      </c>
      <c r="W2331" s="253"/>
    </row>
    <row r="2332" spans="6:23" ht="20.25" customHeight="1">
      <c r="W2332" s="253"/>
    </row>
    <row r="2333" spans="6:23" ht="20.25" customHeight="1">
      <c r="H2333" s="274" t="s">
        <v>991</v>
      </c>
      <c r="O2333" s="274" t="s">
        <v>921</v>
      </c>
      <c r="Q2333" s="296"/>
      <c r="W2333" s="253"/>
    </row>
    <row r="2334" spans="6:23" ht="20.25" customHeight="1">
      <c r="F2334" s="252">
        <v>0.25</v>
      </c>
      <c r="G2334" s="252" t="s">
        <v>560</v>
      </c>
      <c r="H2334" s="252" t="s">
        <v>1825</v>
      </c>
      <c r="I2334" s="252">
        <f>C11</f>
        <v>932</v>
      </c>
      <c r="J2334" s="296" t="s">
        <v>1398</v>
      </c>
      <c r="K2334" s="252">
        <f>I2334*F2334</f>
        <v>233</v>
      </c>
      <c r="M2334" s="252">
        <v>15</v>
      </c>
      <c r="N2334" s="252" t="s">
        <v>233</v>
      </c>
      <c r="O2334" s="468" t="s">
        <v>5876</v>
      </c>
      <c r="P2334" s="362">
        <v>160.25</v>
      </c>
      <c r="Q2334" s="296" t="s">
        <v>233</v>
      </c>
      <c r="R2334" s="252">
        <f>P2334*M2334</f>
        <v>2403.75</v>
      </c>
      <c r="W2334" s="253"/>
    </row>
    <row r="2335" spans="6:23" ht="20.25"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0.25"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0.25"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0.25" customHeight="1">
      <c r="H2338" s="252" t="s">
        <v>992</v>
      </c>
      <c r="K2338" s="274">
        <f>K2337/2.44</f>
        <v>398.52</v>
      </c>
      <c r="O2338" s="252" t="s">
        <v>39</v>
      </c>
      <c r="Q2338" s="296"/>
      <c r="R2338" s="252">
        <f>SUM(R2334:R2337)</f>
        <v>3197.93</v>
      </c>
      <c r="W2338" s="253"/>
    </row>
    <row r="2339" spans="4:23" ht="20.25" customHeight="1">
      <c r="K2339" s="252">
        <v>0</v>
      </c>
      <c r="O2339" s="274" t="s">
        <v>1730</v>
      </c>
      <c r="Q2339" s="296"/>
      <c r="R2339" s="274">
        <f>R2338/15</f>
        <v>213.2</v>
      </c>
      <c r="W2339" s="253"/>
    </row>
    <row r="2340" spans="4:23" ht="20.25" customHeight="1">
      <c r="H2340" s="274" t="s">
        <v>940</v>
      </c>
      <c r="W2340" s="253"/>
    </row>
    <row r="2341" spans="4:23" ht="20.25" customHeight="1">
      <c r="F2341" s="356">
        <v>7.0999999999999994E-2</v>
      </c>
      <c r="G2341" s="252" t="s">
        <v>367</v>
      </c>
      <c r="H2341" s="252" t="s">
        <v>941</v>
      </c>
      <c r="I2341" s="252">
        <f>Y688</f>
        <v>8461.35</v>
      </c>
      <c r="J2341" s="296" t="s">
        <v>368</v>
      </c>
      <c r="K2341" s="252">
        <f>I2341*F2341</f>
        <v>600.76</v>
      </c>
      <c r="W2341" s="253"/>
    </row>
    <row r="2342" spans="4:23" ht="20.25" customHeight="1">
      <c r="F2342" s="252">
        <v>1</v>
      </c>
      <c r="G2342" s="252" t="s">
        <v>2196</v>
      </c>
      <c r="H2342" s="252" t="s">
        <v>915</v>
      </c>
      <c r="I2342" s="252">
        <f>K2338</f>
        <v>398.52</v>
      </c>
      <c r="J2342" s="296" t="s">
        <v>2196</v>
      </c>
      <c r="K2342" s="252">
        <f>I2342*F2342</f>
        <v>398.52</v>
      </c>
      <c r="W2342" s="253"/>
    </row>
    <row r="2343" spans="4:23" ht="20.25" customHeight="1">
      <c r="F2343" s="252" t="s">
        <v>975</v>
      </c>
      <c r="H2343" s="252" t="s">
        <v>369</v>
      </c>
      <c r="K2343" s="274">
        <f>SUM(K2341:K2342)</f>
        <v>999.28</v>
      </c>
      <c r="O2343" s="1167" t="s">
        <v>1166</v>
      </c>
      <c r="P2343" s="1168"/>
      <c r="Q2343" s="1168"/>
      <c r="W2343" s="253"/>
    </row>
    <row r="2344" spans="4:23" ht="20.25" customHeight="1">
      <c r="M2344" s="252">
        <v>0.47</v>
      </c>
      <c r="N2344" s="252" t="s">
        <v>2151</v>
      </c>
      <c r="O2344" s="252" t="s">
        <v>357</v>
      </c>
      <c r="P2344" s="252">
        <f>K90</f>
        <v>224.1</v>
      </c>
      <c r="Q2344" s="296" t="s">
        <v>1398</v>
      </c>
      <c r="R2344" s="252">
        <f>P2344*M2344</f>
        <v>105.33</v>
      </c>
      <c r="W2344" s="253"/>
    </row>
    <row r="2345" spans="4:23" ht="20.25" customHeight="1">
      <c r="M2345" s="252">
        <v>2</v>
      </c>
      <c r="R2345" s="252">
        <f>P2345*M2345</f>
        <v>0</v>
      </c>
      <c r="W2345" s="253"/>
    </row>
    <row r="2346" spans="4:23" ht="20.25" customHeight="1">
      <c r="H2346" s="258" t="s">
        <v>1332</v>
      </c>
      <c r="K2346" s="356"/>
      <c r="M2346" s="252">
        <v>0.24</v>
      </c>
      <c r="N2346" s="252" t="s">
        <v>2151</v>
      </c>
      <c r="O2346" s="252" t="s">
        <v>1167</v>
      </c>
      <c r="P2346" s="252">
        <f>AC15</f>
        <v>1388.74</v>
      </c>
      <c r="Q2346" s="296" t="s">
        <v>1398</v>
      </c>
      <c r="R2346" s="252">
        <f>P2346*M2346</f>
        <v>333.3</v>
      </c>
      <c r="W2346" s="253"/>
    </row>
    <row r="2347" spans="4:23" ht="20.25" customHeight="1">
      <c r="D2347" s="252">
        <f>24/5</f>
        <v>4.8</v>
      </c>
      <c r="F2347" s="252">
        <v>98.5</v>
      </c>
      <c r="G2347" s="252" t="s">
        <v>1771</v>
      </c>
      <c r="H2347" s="529" t="s">
        <v>5329</v>
      </c>
      <c r="I2347" s="530">
        <f>25.2/5</f>
        <v>5.04</v>
      </c>
      <c r="J2347" s="296" t="s">
        <v>1771</v>
      </c>
      <c r="K2347" s="252">
        <f>I2347*F2347</f>
        <v>496.44</v>
      </c>
      <c r="M2347" s="252">
        <v>0.79</v>
      </c>
      <c r="N2347" s="296" t="s">
        <v>2283</v>
      </c>
      <c r="O2347" s="430" t="s">
        <v>5330</v>
      </c>
      <c r="P2347" s="252">
        <f>AD559</f>
        <v>1650.83</v>
      </c>
      <c r="Q2347" s="296" t="s">
        <v>449</v>
      </c>
      <c r="R2347" s="252">
        <f>P2347*M2347</f>
        <v>1304.1600000000001</v>
      </c>
      <c r="W2347" s="253"/>
    </row>
    <row r="2348" spans="4:23" ht="20.25" customHeight="1">
      <c r="F2348" s="252">
        <v>0.3</v>
      </c>
      <c r="G2348" s="252" t="s">
        <v>1771</v>
      </c>
      <c r="H2348" s="252" t="s">
        <v>274</v>
      </c>
      <c r="I2348" s="252">
        <f>C16</f>
        <v>976</v>
      </c>
      <c r="J2348" s="296" t="s">
        <v>1398</v>
      </c>
      <c r="K2348" s="252">
        <f>I2348*F2348</f>
        <v>292.8</v>
      </c>
      <c r="M2348" s="252">
        <v>0.24</v>
      </c>
      <c r="N2348" s="252" t="s">
        <v>2151</v>
      </c>
      <c r="O2348" s="252" t="s">
        <v>912</v>
      </c>
      <c r="P2348" s="252">
        <f>I140</f>
        <v>1741.58</v>
      </c>
      <c r="Q2348" s="296"/>
      <c r="R2348" s="252">
        <f>P2348*M2348</f>
        <v>417.98</v>
      </c>
      <c r="W2348" s="253"/>
    </row>
    <row r="2349" spans="4:23" ht="20.25"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0.25" customHeight="1">
      <c r="H2350" s="252" t="s">
        <v>13</v>
      </c>
      <c r="K2350" s="252">
        <v>0.9</v>
      </c>
      <c r="R2350" s="274">
        <f>SUM(R2344:R2348)</f>
        <v>2160.77</v>
      </c>
      <c r="W2350" s="253"/>
    </row>
    <row r="2351" spans="4:23" ht="20.25" customHeight="1">
      <c r="H2351" s="274" t="s">
        <v>3539</v>
      </c>
      <c r="K2351" s="274">
        <f>SUM(K2347:K2350)</f>
        <v>985.44</v>
      </c>
      <c r="R2351" s="252" t="s">
        <v>4013</v>
      </c>
      <c r="W2351" s="253"/>
    </row>
    <row r="2352" spans="4:23" ht="20.25" customHeight="1">
      <c r="H2352" s="274" t="s">
        <v>3540</v>
      </c>
      <c r="K2352" s="274">
        <f>K2351/10</f>
        <v>98.54</v>
      </c>
      <c r="R2352" s="252">
        <v>0</v>
      </c>
      <c r="W2352" s="253"/>
    </row>
    <row r="2353" spans="6:23" ht="20.25" customHeight="1">
      <c r="H2353" s="274" t="s">
        <v>3541</v>
      </c>
      <c r="K2353" s="274">
        <f>K2352/3</f>
        <v>32.85</v>
      </c>
      <c r="O2353" s="1167" t="s">
        <v>1310</v>
      </c>
      <c r="P2353" s="1168"/>
      <c r="Q2353" s="1168"/>
      <c r="W2353" s="253"/>
    </row>
    <row r="2354" spans="6:23" ht="20.25"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0.25" customHeight="1">
      <c r="G2355" s="274"/>
      <c r="I2355" s="274"/>
      <c r="K2355" s="274"/>
      <c r="M2355" s="356">
        <v>7.0999999999999994E-2</v>
      </c>
      <c r="N2355" s="252" t="s">
        <v>2151</v>
      </c>
      <c r="O2355" s="252" t="s">
        <v>1167</v>
      </c>
      <c r="P2355" s="252">
        <f>P2346</f>
        <v>1388.74</v>
      </c>
      <c r="Q2355" s="296" t="s">
        <v>1398</v>
      </c>
      <c r="R2355" s="252">
        <f>P2355*M2355</f>
        <v>98.6</v>
      </c>
      <c r="W2355" s="253"/>
    </row>
    <row r="2356" spans="6:23" ht="20.25" customHeight="1">
      <c r="G2356" s="360" t="s">
        <v>520</v>
      </c>
      <c r="H2356" s="252" t="s">
        <v>725</v>
      </c>
      <c r="I2356" s="274">
        <f>K770</f>
        <v>946.62</v>
      </c>
      <c r="K2356" s="274"/>
      <c r="R2356" s="252" t="s">
        <v>1309</v>
      </c>
      <c r="W2356" s="253"/>
    </row>
    <row r="2357" spans="6:23" ht="20.25" customHeight="1">
      <c r="G2357" s="274"/>
      <c r="I2357" s="274"/>
      <c r="K2357" s="274"/>
      <c r="N2357" s="296"/>
      <c r="Q2357" s="296"/>
      <c r="R2357" s="274">
        <f>SUM(R2354:R2355)</f>
        <v>497.12</v>
      </c>
      <c r="W2357" s="253"/>
    </row>
    <row r="2358" spans="6:23" ht="20.25" customHeight="1">
      <c r="G2358" s="271" t="s">
        <v>316</v>
      </c>
      <c r="H2358" s="262" t="s">
        <v>726</v>
      </c>
      <c r="I2358" s="274">
        <f>I2356*1.2</f>
        <v>1135.94</v>
      </c>
      <c r="K2358" s="274"/>
      <c r="Q2358" s="296"/>
      <c r="R2358" s="252" t="s">
        <v>1309</v>
      </c>
      <c r="W2358" s="253"/>
    </row>
    <row r="2359" spans="6:23" ht="20.25" customHeight="1">
      <c r="G2359" s="360"/>
      <c r="K2359" s="274"/>
      <c r="M2359" s="252">
        <v>0.25</v>
      </c>
      <c r="N2359" s="252" t="s">
        <v>1394</v>
      </c>
      <c r="O2359" s="252" t="s">
        <v>1311</v>
      </c>
      <c r="P2359" s="252">
        <f>AE10</f>
        <v>932</v>
      </c>
      <c r="Q2359" s="296"/>
      <c r="R2359" s="252">
        <f>P2359*M2359</f>
        <v>233</v>
      </c>
      <c r="W2359" s="253"/>
    </row>
    <row r="2360" spans="6:23" ht="20.25"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20.25" customHeight="1">
      <c r="K2361" s="274"/>
      <c r="M2361" s="252">
        <v>1</v>
      </c>
      <c r="N2361" s="252" t="s">
        <v>1394</v>
      </c>
      <c r="O2361" s="268" t="s">
        <v>1313</v>
      </c>
      <c r="P2361" s="252" t="s">
        <v>657</v>
      </c>
      <c r="R2361" s="252">
        <f>(R2359+R2360)*10%</f>
        <v>88.4</v>
      </c>
      <c r="W2361" s="253"/>
    </row>
    <row r="2362" spans="6:23" ht="20.25" customHeight="1">
      <c r="R2362" s="252" t="s">
        <v>1309</v>
      </c>
      <c r="W2362" s="253"/>
    </row>
    <row r="2363" spans="6:23" ht="20.25" customHeight="1">
      <c r="H2363" s="274" t="s">
        <v>2191</v>
      </c>
      <c r="R2363" s="274">
        <f>SUM(R2359:R2361)</f>
        <v>972.4</v>
      </c>
      <c r="W2363" s="253"/>
    </row>
    <row r="2364" spans="6:23" ht="20.25" customHeight="1">
      <c r="F2364" s="252">
        <v>11.5</v>
      </c>
      <c r="G2364" s="252" t="s">
        <v>2283</v>
      </c>
      <c r="H2364" s="422" t="s">
        <v>5331</v>
      </c>
      <c r="I2364" s="370">
        <v>170.15</v>
      </c>
      <c r="J2364" s="296" t="s">
        <v>2283</v>
      </c>
      <c r="K2364" s="252">
        <f t="shared" ref="K2364:K2369" si="250">F2364*I2364</f>
        <v>1956.73</v>
      </c>
      <c r="R2364" s="252" t="s">
        <v>1309</v>
      </c>
      <c r="W2364" s="253"/>
    </row>
    <row r="2365" spans="6:23" ht="20.25" customHeight="1">
      <c r="F2365" s="252">
        <v>2</v>
      </c>
      <c r="G2365" s="252" t="s">
        <v>1965</v>
      </c>
      <c r="H2365" s="422" t="s">
        <v>5332</v>
      </c>
      <c r="I2365" s="370">
        <v>196.45</v>
      </c>
      <c r="J2365" s="296" t="s">
        <v>1966</v>
      </c>
      <c r="K2365" s="252">
        <f t="shared" si="250"/>
        <v>392.9</v>
      </c>
      <c r="R2365" s="252">
        <f>R2363/2.44</f>
        <v>398.52</v>
      </c>
      <c r="W2365" s="253"/>
    </row>
    <row r="2366" spans="6:23" ht="20.25" customHeight="1">
      <c r="F2366" s="252">
        <v>20</v>
      </c>
      <c r="G2366" s="252" t="s">
        <v>145</v>
      </c>
      <c r="H2366" s="531" t="s">
        <v>5333</v>
      </c>
      <c r="I2366" s="370">
        <v>3.91</v>
      </c>
      <c r="J2366" s="296" t="s">
        <v>145</v>
      </c>
      <c r="K2366" s="252">
        <f t="shared" si="250"/>
        <v>78.2</v>
      </c>
      <c r="W2366" s="253"/>
    </row>
    <row r="2367" spans="6:23" ht="20.25" customHeight="1">
      <c r="F2367" s="252">
        <v>2.2000000000000002</v>
      </c>
      <c r="G2367" s="252" t="s">
        <v>1394</v>
      </c>
      <c r="H2367" s="252" t="s">
        <v>965</v>
      </c>
      <c r="I2367" s="252">
        <f>AE18</f>
        <v>856</v>
      </c>
      <c r="J2367" s="296" t="s">
        <v>1398</v>
      </c>
      <c r="K2367" s="252">
        <f t="shared" si="250"/>
        <v>1883.2</v>
      </c>
      <c r="W2367" s="253"/>
    </row>
    <row r="2368" spans="6:23" ht="20.25" customHeight="1">
      <c r="F2368" s="252">
        <v>1.1000000000000001</v>
      </c>
      <c r="G2368" s="252" t="s">
        <v>1394</v>
      </c>
      <c r="H2368" s="252" t="s">
        <v>143</v>
      </c>
      <c r="I2368" s="252">
        <f>C16</f>
        <v>976</v>
      </c>
      <c r="J2368" s="296" t="s">
        <v>1398</v>
      </c>
      <c r="K2368" s="252">
        <f t="shared" si="250"/>
        <v>1073.5999999999999</v>
      </c>
      <c r="W2368" s="253"/>
    </row>
    <row r="2369" spans="6:23" ht="20.25" customHeight="1">
      <c r="F2369" s="252">
        <v>3.2</v>
      </c>
      <c r="G2369" s="252" t="s">
        <v>1394</v>
      </c>
      <c r="H2369" s="252" t="s">
        <v>144</v>
      </c>
      <c r="I2369" s="252">
        <f>C12</f>
        <v>651</v>
      </c>
      <c r="J2369" s="296" t="s">
        <v>1398</v>
      </c>
      <c r="K2369" s="252">
        <f t="shared" si="250"/>
        <v>2083.1999999999998</v>
      </c>
      <c r="O2369" s="253"/>
      <c r="W2369" s="253"/>
    </row>
    <row r="2370" spans="6:23" ht="20.25" customHeight="1">
      <c r="H2370" s="252" t="s">
        <v>1458</v>
      </c>
      <c r="J2370" s="296" t="s">
        <v>449</v>
      </c>
      <c r="K2370" s="252">
        <v>0.5</v>
      </c>
      <c r="O2370" s="255" t="s">
        <v>2192</v>
      </c>
      <c r="Q2370" s="296"/>
      <c r="W2370" s="253"/>
    </row>
    <row r="2371" spans="6:23" ht="20.25" customHeight="1">
      <c r="K2371" s="377" t="s">
        <v>146</v>
      </c>
      <c r="M2371" s="252">
        <v>11</v>
      </c>
      <c r="N2371" s="252" t="s">
        <v>2283</v>
      </c>
      <c r="O2371" s="252" t="s">
        <v>2895</v>
      </c>
      <c r="P2371" s="364">
        <f>I2364</f>
        <v>170.15</v>
      </c>
      <c r="Q2371" s="296" t="s">
        <v>2283</v>
      </c>
      <c r="R2371" s="252">
        <f>M2371*P2371</f>
        <v>1871.65</v>
      </c>
      <c r="W2371" s="253"/>
    </row>
    <row r="2372" spans="6:23" ht="20.25"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0.25" customHeight="1">
      <c r="K2373" s="377" t="s">
        <v>146</v>
      </c>
      <c r="M2373" s="252">
        <v>2.2000000000000002</v>
      </c>
      <c r="N2373" s="252" t="s">
        <v>1394</v>
      </c>
      <c r="O2373" s="252" t="s">
        <v>965</v>
      </c>
      <c r="P2373" s="252">
        <f>AE18</f>
        <v>856</v>
      </c>
      <c r="Q2373" s="296" t="s">
        <v>1398</v>
      </c>
      <c r="R2373" s="252">
        <f>M2373*P2373</f>
        <v>1883.2</v>
      </c>
      <c r="W2373" s="253"/>
    </row>
    <row r="2374" spans="6:23" ht="20.25"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0.25" customHeight="1">
      <c r="K2375" s="377" t="s">
        <v>146</v>
      </c>
      <c r="M2375" s="252">
        <v>3.2</v>
      </c>
      <c r="N2375" s="252" t="s">
        <v>1394</v>
      </c>
      <c r="O2375" s="252" t="s">
        <v>144</v>
      </c>
      <c r="P2375" s="252">
        <f>I2369</f>
        <v>651</v>
      </c>
      <c r="Q2375" s="296" t="s">
        <v>1398</v>
      </c>
      <c r="R2375" s="252">
        <f>M2375*P2375</f>
        <v>2083.1999999999998</v>
      </c>
      <c r="W2375" s="253"/>
    </row>
    <row r="2376" spans="6:23" ht="20.25" customHeight="1">
      <c r="O2376" s="252" t="s">
        <v>1458</v>
      </c>
      <c r="Q2376" s="296" t="s">
        <v>657</v>
      </c>
      <c r="R2376" s="252">
        <v>0.74</v>
      </c>
      <c r="W2376" s="253"/>
    </row>
    <row r="2377" spans="6:23" ht="20.25" customHeight="1">
      <c r="W2377" s="253"/>
    </row>
    <row r="2378" spans="6:23" ht="20.25" customHeight="1">
      <c r="H2378" s="275" t="s">
        <v>2026</v>
      </c>
      <c r="Q2378" s="296"/>
      <c r="R2378" s="377" t="s">
        <v>146</v>
      </c>
      <c r="W2378" s="253"/>
    </row>
    <row r="2379" spans="6:23" ht="20.25" customHeight="1">
      <c r="O2379" s="255" t="s">
        <v>1459</v>
      </c>
      <c r="Q2379" s="296"/>
      <c r="R2379" s="274">
        <f>SUM(R2371:R2378)</f>
        <v>6990.59</v>
      </c>
      <c r="W2379" s="253"/>
    </row>
    <row r="2380" spans="6:23" ht="20.25" customHeight="1">
      <c r="F2380" s="252" t="s">
        <v>2027</v>
      </c>
      <c r="H2380" s="252" t="s">
        <v>2028</v>
      </c>
      <c r="Q2380" s="296"/>
      <c r="R2380" s="377" t="s">
        <v>146</v>
      </c>
      <c r="W2380" s="253"/>
    </row>
    <row r="2381" spans="6:23" ht="20.25" customHeight="1">
      <c r="H2381" s="252" t="s">
        <v>352</v>
      </c>
      <c r="O2381" s="255" t="s">
        <v>1460</v>
      </c>
      <c r="Q2381" s="296"/>
      <c r="R2381" s="274">
        <f>R2379/10</f>
        <v>699.06</v>
      </c>
      <c r="W2381" s="253"/>
    </row>
    <row r="2382" spans="6:23" ht="20.25" customHeight="1">
      <c r="Q2382" s="296"/>
      <c r="R2382" s="377" t="s">
        <v>146</v>
      </c>
      <c r="W2382" s="253"/>
    </row>
    <row r="2383" spans="6:23" ht="20.25" customHeight="1">
      <c r="F2383" s="252">
        <v>1.96</v>
      </c>
      <c r="G2383" s="252" t="s">
        <v>2151</v>
      </c>
      <c r="H2383" s="252" t="s">
        <v>353</v>
      </c>
      <c r="I2383" s="252">
        <f>K1713</f>
        <v>5840.67</v>
      </c>
      <c r="J2383" s="296" t="s">
        <v>869</v>
      </c>
      <c r="K2383" s="252">
        <f t="shared" ref="K2383:K2388" si="251">(F2383*I2383)</f>
        <v>11447.71</v>
      </c>
      <c r="W2383" s="253"/>
    </row>
    <row r="2384" spans="6:23" ht="20.25" customHeight="1">
      <c r="F2384" s="252">
        <v>2</v>
      </c>
      <c r="G2384" s="252" t="s">
        <v>1394</v>
      </c>
      <c r="H2384" s="252" t="s">
        <v>354</v>
      </c>
      <c r="I2384" s="252">
        <f>C10</f>
        <v>999</v>
      </c>
      <c r="J2384" s="296" t="s">
        <v>868</v>
      </c>
      <c r="K2384" s="252">
        <f t="shared" si="251"/>
        <v>1998</v>
      </c>
      <c r="W2384" s="253"/>
    </row>
    <row r="2385" spans="5:23" ht="20.25" customHeight="1">
      <c r="F2385" s="252">
        <v>2</v>
      </c>
      <c r="G2385" s="252" t="s">
        <v>1394</v>
      </c>
      <c r="H2385" s="252" t="s">
        <v>355</v>
      </c>
      <c r="I2385" s="252">
        <f>C13</f>
        <v>534</v>
      </c>
      <c r="J2385" s="296" t="s">
        <v>868</v>
      </c>
      <c r="K2385" s="252">
        <f t="shared" si="251"/>
        <v>1068</v>
      </c>
      <c r="N2385" s="252" t="s">
        <v>2251</v>
      </c>
      <c r="Q2385" s="296"/>
      <c r="W2385" s="253"/>
    </row>
    <row r="2386" spans="5:23" ht="20.25" customHeight="1">
      <c r="F2386" s="252">
        <v>0.28000000000000003</v>
      </c>
      <c r="G2386" s="252" t="s">
        <v>2283</v>
      </c>
      <c r="H2386" s="252" t="s">
        <v>356</v>
      </c>
      <c r="I2386" s="252">
        <f>I2354</f>
        <v>848.08</v>
      </c>
      <c r="J2386" s="296" t="s">
        <v>868</v>
      </c>
      <c r="K2386" s="252">
        <f t="shared" si="251"/>
        <v>237.46</v>
      </c>
      <c r="O2386" s="296" t="s">
        <v>6133</v>
      </c>
      <c r="Q2386" s="253"/>
      <c r="W2386" s="253"/>
    </row>
    <row r="2387" spans="5:23" ht="20.25" customHeight="1">
      <c r="F2387" s="252">
        <v>500</v>
      </c>
      <c r="G2387" s="252" t="s">
        <v>1394</v>
      </c>
      <c r="H2387" s="389" t="s">
        <v>2146</v>
      </c>
      <c r="I2387" s="252">
        <v>2</v>
      </c>
      <c r="J2387" s="296" t="s">
        <v>868</v>
      </c>
      <c r="K2387" s="252">
        <f t="shared" si="251"/>
        <v>1000</v>
      </c>
      <c r="O2387" s="296" t="s">
        <v>3664</v>
      </c>
      <c r="Q2387" s="253"/>
      <c r="W2387" s="253"/>
    </row>
    <row r="2388" spans="5:23" ht="20.25" customHeight="1">
      <c r="F2388" s="252">
        <v>8.5</v>
      </c>
      <c r="G2388" s="252" t="s">
        <v>2147</v>
      </c>
      <c r="H2388" s="368" t="s">
        <v>4231</v>
      </c>
      <c r="I2388" s="420">
        <v>43.6</v>
      </c>
      <c r="J2388" s="296" t="s">
        <v>2147</v>
      </c>
      <c r="K2388" s="252">
        <f t="shared" si="251"/>
        <v>370.6</v>
      </c>
      <c r="O2388" s="296" t="s">
        <v>3665</v>
      </c>
      <c r="Q2388" s="253"/>
      <c r="W2388" s="253"/>
    </row>
    <row r="2389" spans="5:23" ht="20.25" customHeight="1">
      <c r="H2389" s="252" t="s">
        <v>2271</v>
      </c>
      <c r="K2389" s="407">
        <v>1.96</v>
      </c>
      <c r="O2389" s="296" t="s">
        <v>3666</v>
      </c>
      <c r="Q2389" s="253"/>
      <c r="W2389" s="253"/>
    </row>
    <row r="2390" spans="5:23" ht="20.25" customHeight="1">
      <c r="I2390" s="252" t="s">
        <v>1729</v>
      </c>
      <c r="K2390" s="252">
        <f>SUM(K2383:K2389)</f>
        <v>16123.73</v>
      </c>
      <c r="O2390" s="358" t="s">
        <v>1586</v>
      </c>
      <c r="P2390" s="358" t="s">
        <v>1586</v>
      </c>
      <c r="Q2390" s="253"/>
      <c r="W2390" s="253"/>
    </row>
    <row r="2391" spans="5:23" ht="20.25" customHeight="1">
      <c r="K2391" s="358" t="s">
        <v>1586</v>
      </c>
      <c r="M2391" s="252">
        <v>8</v>
      </c>
      <c r="N2391" s="252" t="s">
        <v>1873</v>
      </c>
      <c r="O2391" s="296" t="s">
        <v>4266</v>
      </c>
      <c r="P2391" s="435">
        <v>4.0999999999999996</v>
      </c>
      <c r="Q2391" s="253" t="s">
        <v>1398</v>
      </c>
      <c r="R2391" s="252">
        <f>P2391*M2391</f>
        <v>32.799999999999997</v>
      </c>
      <c r="W2391" s="253"/>
    </row>
    <row r="2392" spans="5:23" ht="20.25" customHeight="1">
      <c r="E2392" s="252">
        <f>23+26.65</f>
        <v>49.65</v>
      </c>
      <c r="I2392" s="252" t="s">
        <v>1730</v>
      </c>
      <c r="K2392" s="274">
        <f>K2390/39.2</f>
        <v>411.32</v>
      </c>
      <c r="M2392" s="252">
        <v>8</v>
      </c>
      <c r="N2392" s="252" t="s">
        <v>1873</v>
      </c>
      <c r="O2392" s="296" t="s">
        <v>3667</v>
      </c>
      <c r="P2392" s="435">
        <v>3.69</v>
      </c>
      <c r="Q2392" s="253" t="s">
        <v>1398</v>
      </c>
      <c r="R2392" s="252">
        <f>P2392*M2392</f>
        <v>29.52</v>
      </c>
      <c r="W2392" s="253"/>
    </row>
    <row r="2393" spans="5:23" ht="20.25"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0.25" customHeight="1">
      <c r="M2394" s="252">
        <v>0.75</v>
      </c>
      <c r="N2394" s="252" t="s">
        <v>1645</v>
      </c>
      <c r="O2394" s="296" t="s">
        <v>3669</v>
      </c>
      <c r="P2394" s="314">
        <v>176.4</v>
      </c>
      <c r="Q2394" s="253" t="s">
        <v>1398</v>
      </c>
      <c r="R2394" s="252">
        <f t="shared" ref="R2394:R2399" si="252">(M2394*P2394)</f>
        <v>132.30000000000001</v>
      </c>
      <c r="W2394" s="253"/>
    </row>
    <row r="2395" spans="5:23" ht="20.25" customHeight="1">
      <c r="M2395" s="252">
        <v>2.25</v>
      </c>
      <c r="N2395" s="252" t="s">
        <v>3670</v>
      </c>
      <c r="O2395" s="296" t="s">
        <v>3671</v>
      </c>
      <c r="P2395" s="314">
        <v>140.41</v>
      </c>
      <c r="Q2395" s="253" t="s">
        <v>3670</v>
      </c>
      <c r="R2395" s="252">
        <f t="shared" si="252"/>
        <v>315.92</v>
      </c>
      <c r="W2395" s="253"/>
    </row>
    <row r="2396" spans="5:23" ht="20.25" customHeight="1">
      <c r="H2396" s="274" t="s">
        <v>975</v>
      </c>
      <c r="M2396" s="252">
        <v>4.5</v>
      </c>
      <c r="N2396" s="252" t="s">
        <v>3670</v>
      </c>
      <c r="O2396" s="296" t="s">
        <v>3672</v>
      </c>
      <c r="P2396" s="314">
        <v>65</v>
      </c>
      <c r="Q2396" s="253" t="s">
        <v>3670</v>
      </c>
      <c r="R2396" s="252">
        <f t="shared" si="252"/>
        <v>292.5</v>
      </c>
      <c r="W2396" s="253"/>
    </row>
    <row r="2397" spans="5:23" ht="20.25" customHeight="1">
      <c r="F2397" s="252">
        <v>1</v>
      </c>
      <c r="G2397" s="252" t="s">
        <v>1394</v>
      </c>
      <c r="H2397" s="532" t="s">
        <v>5877</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0.25"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0.25"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0.25" customHeight="1">
      <c r="H2400" s="389"/>
      <c r="M2400" s="252">
        <v>300</v>
      </c>
      <c r="N2400" s="252" t="s">
        <v>3676</v>
      </c>
      <c r="O2400" s="296" t="s">
        <v>3677</v>
      </c>
      <c r="P2400" s="314">
        <v>30</v>
      </c>
      <c r="Q2400" s="253" t="s">
        <v>4239</v>
      </c>
      <c r="R2400" s="252">
        <f>P2400*M2400/100</f>
        <v>90</v>
      </c>
      <c r="W2400" s="253"/>
    </row>
    <row r="2401" spans="6:23" ht="20.25" customHeight="1">
      <c r="M2401" s="252">
        <v>300</v>
      </c>
      <c r="N2401" s="252" t="s">
        <v>3676</v>
      </c>
      <c r="O2401" s="296" t="s">
        <v>3678</v>
      </c>
      <c r="P2401" s="314">
        <v>44.99</v>
      </c>
      <c r="Q2401" s="253" t="s">
        <v>4240</v>
      </c>
      <c r="R2401" s="252">
        <f>P2401*M2401/500</f>
        <v>26.99</v>
      </c>
      <c r="W2401" s="253"/>
    </row>
    <row r="2402" spans="6:23" ht="20.25" customHeight="1">
      <c r="K2402" s="533" t="s">
        <v>146</v>
      </c>
      <c r="M2402" s="252">
        <v>1.5</v>
      </c>
      <c r="N2402" s="252" t="s">
        <v>1645</v>
      </c>
      <c r="O2402" s="296" t="s">
        <v>3679</v>
      </c>
      <c r="P2402" s="314">
        <v>20.95</v>
      </c>
      <c r="Q2402" s="253" t="s">
        <v>1645</v>
      </c>
      <c r="R2402" s="252">
        <f>P2402*M2402</f>
        <v>31.43</v>
      </c>
      <c r="W2402" s="253"/>
    </row>
    <row r="2403" spans="6:23" ht="20.25" customHeight="1">
      <c r="K2403" s="274">
        <f>SUM(K2397:K2402)</f>
        <v>886.53</v>
      </c>
      <c r="M2403" s="252">
        <v>2.25</v>
      </c>
      <c r="N2403" s="252" t="s">
        <v>3670</v>
      </c>
      <c r="O2403" s="296" t="s">
        <v>4267</v>
      </c>
      <c r="P2403" s="314">
        <v>212.41</v>
      </c>
      <c r="Q2403" s="253" t="s">
        <v>3670</v>
      </c>
      <c r="R2403" s="252">
        <f>(M2403*P2403)</f>
        <v>477.92</v>
      </c>
      <c r="W2403" s="253"/>
    </row>
    <row r="2404" spans="6:23" ht="20.25" customHeight="1">
      <c r="K2404" s="533" t="s">
        <v>146</v>
      </c>
      <c r="M2404" s="252">
        <v>0.75</v>
      </c>
      <c r="N2404" s="252" t="s">
        <v>3670</v>
      </c>
      <c r="O2404" s="296" t="s">
        <v>3680</v>
      </c>
      <c r="P2404" s="314">
        <v>205.21</v>
      </c>
      <c r="Q2404" s="253" t="s">
        <v>3670</v>
      </c>
      <c r="R2404" s="252">
        <f>(M2404*P2404)</f>
        <v>153.91</v>
      </c>
      <c r="W2404" s="253"/>
    </row>
    <row r="2405" spans="6:23" ht="20.25" customHeight="1">
      <c r="M2405" s="252">
        <v>2.25</v>
      </c>
      <c r="N2405" s="252" t="s">
        <v>3670</v>
      </c>
      <c r="O2405" s="296" t="s">
        <v>3681</v>
      </c>
      <c r="P2405" s="314">
        <v>185.21</v>
      </c>
      <c r="Q2405" s="253" t="s">
        <v>3670</v>
      </c>
      <c r="R2405" s="252">
        <f>(M2405*P2405)</f>
        <v>416.72</v>
      </c>
      <c r="W2405" s="253"/>
    </row>
    <row r="2406" spans="6:23" ht="20.25" customHeight="1">
      <c r="M2406" s="252">
        <v>500</v>
      </c>
      <c r="N2406" s="252" t="s">
        <v>3676</v>
      </c>
      <c r="O2406" s="296" t="s">
        <v>3682</v>
      </c>
      <c r="P2406" s="314">
        <v>52.25</v>
      </c>
      <c r="Q2406" s="253" t="s">
        <v>1645</v>
      </c>
      <c r="R2406" s="252">
        <f>(M2406*P2406)/1000</f>
        <v>26.13</v>
      </c>
      <c r="W2406" s="253"/>
    </row>
    <row r="2407" spans="6:23" ht="20.25" customHeight="1">
      <c r="H2407" s="274" t="s">
        <v>2121</v>
      </c>
      <c r="M2407" s="252">
        <v>1</v>
      </c>
      <c r="N2407" s="252" t="s">
        <v>1873</v>
      </c>
      <c r="O2407" s="296" t="s">
        <v>3683</v>
      </c>
      <c r="P2407" s="314">
        <v>131.21</v>
      </c>
      <c r="Q2407" s="253" t="s">
        <v>4241</v>
      </c>
      <c r="R2407" s="252">
        <f>P2407/1</f>
        <v>131.21</v>
      </c>
      <c r="W2407" s="253"/>
    </row>
    <row r="2408" spans="6:23" ht="20.25" customHeight="1">
      <c r="F2408" s="252">
        <v>1</v>
      </c>
      <c r="G2408" s="252" t="s">
        <v>1394</v>
      </c>
      <c r="H2408" s="422" t="s">
        <v>4259</v>
      </c>
      <c r="I2408" s="252">
        <f>C619</f>
        <v>940</v>
      </c>
      <c r="J2408" s="296" t="s">
        <v>868</v>
      </c>
      <c r="K2408" s="252">
        <f>(F2408*I2408)</f>
        <v>940</v>
      </c>
      <c r="M2408" s="252">
        <v>1</v>
      </c>
      <c r="N2408" s="252" t="s">
        <v>1873</v>
      </c>
      <c r="O2408" s="296" t="s">
        <v>3684</v>
      </c>
      <c r="P2408" s="314">
        <v>12.3</v>
      </c>
      <c r="Q2408" s="253" t="s">
        <v>4241</v>
      </c>
      <c r="R2408" s="252">
        <f>P2408/1</f>
        <v>12.3</v>
      </c>
      <c r="W2408" s="253"/>
    </row>
    <row r="2409" spans="6:23" ht="20.25"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0.25"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0.25"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0.25" customHeight="1">
      <c r="H2412" s="252" t="s">
        <v>307</v>
      </c>
      <c r="J2412" s="253" t="s">
        <v>67</v>
      </c>
      <c r="K2412" s="252">
        <v>0.25</v>
      </c>
      <c r="O2412" s="296" t="s">
        <v>3688</v>
      </c>
      <c r="Q2412" s="253"/>
      <c r="R2412" s="252">
        <v>20</v>
      </c>
      <c r="W2412" s="253"/>
    </row>
    <row r="2413" spans="6:23" ht="20.25" customHeight="1">
      <c r="Q2413" s="296"/>
      <c r="R2413" s="377" t="s">
        <v>3689</v>
      </c>
      <c r="W2413" s="253"/>
    </row>
    <row r="2414" spans="6:23" ht="20.25" customHeight="1">
      <c r="K2414" s="533" t="s">
        <v>146</v>
      </c>
      <c r="O2414" s="296" t="s">
        <v>6134</v>
      </c>
      <c r="Q2414" s="296"/>
      <c r="R2414" s="252">
        <f>SUM(R2391:R2413)</f>
        <v>8156.55</v>
      </c>
      <c r="W2414" s="253"/>
    </row>
    <row r="2415" spans="6:23" ht="20.25" customHeight="1">
      <c r="K2415" s="274">
        <f>SUM(K2408:K2414)</f>
        <v>2198.25</v>
      </c>
      <c r="O2415" s="274"/>
      <c r="P2415" s="274"/>
      <c r="Q2415" s="276"/>
      <c r="R2415" s="358" t="s">
        <v>2055</v>
      </c>
      <c r="W2415" s="253"/>
    </row>
    <row r="2416" spans="6:23" ht="20.25" customHeight="1">
      <c r="K2416" s="533" t="s">
        <v>146</v>
      </c>
      <c r="O2416" s="274" t="s">
        <v>3225</v>
      </c>
      <c r="P2416" s="274"/>
      <c r="Q2416" s="276"/>
      <c r="R2416" s="360">
        <f>R2414/5.67</f>
        <v>1438.54</v>
      </c>
      <c r="W2416" s="253"/>
    </row>
    <row r="2417" spans="6:23" ht="20.25" customHeight="1">
      <c r="K2417" s="253"/>
      <c r="W2417" s="253"/>
    </row>
    <row r="2418" spans="6:23" ht="20.25" customHeight="1">
      <c r="K2418" s="253"/>
      <c r="W2418" s="253"/>
    </row>
    <row r="2419" spans="6:23" ht="20.25" customHeight="1">
      <c r="K2419" s="253"/>
      <c r="W2419" s="253"/>
    </row>
    <row r="2420" spans="6:23" ht="20.25" customHeight="1">
      <c r="F2420" s="253" t="s">
        <v>935</v>
      </c>
      <c r="G2420" s="253"/>
      <c r="H2420" s="1173" t="s">
        <v>344</v>
      </c>
      <c r="I2420" s="1173"/>
      <c r="J2420" s="1173"/>
      <c r="K2420" s="1173"/>
      <c r="W2420" s="253"/>
    </row>
    <row r="2421" spans="6:23" ht="20.25" customHeight="1">
      <c r="F2421" s="253"/>
      <c r="G2421" s="253"/>
      <c r="H2421" s="253"/>
      <c r="I2421" s="253"/>
      <c r="W2421" s="253"/>
    </row>
    <row r="2422" spans="6:23" ht="20.25" customHeight="1">
      <c r="F2422" s="252">
        <v>10.5</v>
      </c>
      <c r="G2422" s="252" t="s">
        <v>2283</v>
      </c>
      <c r="H2422" s="1172" t="s">
        <v>5334</v>
      </c>
      <c r="I2422" s="370">
        <v>318</v>
      </c>
      <c r="J2422" s="296" t="s">
        <v>2283</v>
      </c>
      <c r="K2422" s="252">
        <f>(F2422*I2422)</f>
        <v>3339</v>
      </c>
      <c r="W2422" s="253"/>
    </row>
    <row r="2423" spans="6:23" ht="20.25" customHeight="1">
      <c r="H2423" s="1172"/>
      <c r="I2423" s="296" t="s">
        <v>975</v>
      </c>
      <c r="K2423" s="296" t="s">
        <v>975</v>
      </c>
      <c r="W2423" s="253"/>
    </row>
    <row r="2424" spans="6:23" ht="20.25" customHeight="1">
      <c r="F2424" s="252">
        <v>0.22</v>
      </c>
      <c r="G2424" s="252" t="s">
        <v>869</v>
      </c>
      <c r="H2424" s="296" t="s">
        <v>1876</v>
      </c>
      <c r="I2424" s="252">
        <f>K32</f>
        <v>4756.78</v>
      </c>
      <c r="J2424" s="296" t="s">
        <v>869</v>
      </c>
      <c r="K2424" s="252">
        <f>(F2424*I2424)</f>
        <v>1046.49</v>
      </c>
      <c r="W2424" s="253"/>
    </row>
    <row r="2425" spans="6:23" ht="20.25" customHeight="1">
      <c r="F2425" s="252">
        <v>64</v>
      </c>
      <c r="G2425" s="252" t="s">
        <v>1645</v>
      </c>
      <c r="H2425" s="296" t="s">
        <v>345</v>
      </c>
      <c r="I2425" s="252">
        <f>C67</f>
        <v>6040</v>
      </c>
      <c r="J2425" s="296" t="s">
        <v>346</v>
      </c>
      <c r="K2425" s="252">
        <f>I2425*F2425/1000</f>
        <v>386.56</v>
      </c>
      <c r="W2425" s="253"/>
    </row>
    <row r="2426" spans="6:23" ht="20.25" customHeight="1">
      <c r="F2426" s="252">
        <v>4.5</v>
      </c>
      <c r="G2426" s="252" t="s">
        <v>1645</v>
      </c>
      <c r="H2426" s="534" t="s">
        <v>4260</v>
      </c>
      <c r="I2426" s="252">
        <f>C608</f>
        <v>24.93</v>
      </c>
      <c r="J2426" s="296" t="s">
        <v>1645</v>
      </c>
      <c r="K2426" s="252">
        <f>F2426*I2426</f>
        <v>112.19</v>
      </c>
      <c r="W2426" s="253"/>
    </row>
    <row r="2427" spans="6:23" ht="20.25" customHeight="1">
      <c r="F2427" s="252">
        <v>5.4</v>
      </c>
      <c r="G2427" s="252" t="s">
        <v>769</v>
      </c>
      <c r="H2427" s="296" t="s">
        <v>347</v>
      </c>
      <c r="I2427" s="252">
        <f>C11</f>
        <v>932</v>
      </c>
      <c r="J2427" s="296" t="s">
        <v>769</v>
      </c>
      <c r="K2427" s="252">
        <f>(F2427*I2427)</f>
        <v>5032.8</v>
      </c>
      <c r="M2427" s="253" t="s">
        <v>935</v>
      </c>
      <c r="N2427" s="253"/>
      <c r="O2427" s="1169" t="s">
        <v>2790</v>
      </c>
      <c r="P2427" s="1169"/>
      <c r="Q2427" s="1169"/>
      <c r="R2427" s="1169"/>
      <c r="W2427" s="253"/>
    </row>
    <row r="2428" spans="6:23" ht="20.25"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0.25" customHeight="1">
      <c r="F2429" s="252">
        <v>6.5</v>
      </c>
      <c r="G2429" s="252" t="s">
        <v>769</v>
      </c>
      <c r="H2429" s="296" t="s">
        <v>1223</v>
      </c>
      <c r="I2429" s="252">
        <f>C13</f>
        <v>534</v>
      </c>
      <c r="J2429" s="296" t="s">
        <v>769</v>
      </c>
      <c r="K2429" s="252">
        <f>(F2429*I2429)</f>
        <v>3471</v>
      </c>
      <c r="M2429" s="252">
        <v>10.5</v>
      </c>
      <c r="N2429" s="252" t="s">
        <v>2283</v>
      </c>
      <c r="O2429" s="1170" t="s">
        <v>5335</v>
      </c>
      <c r="P2429" s="362">
        <v>484</v>
      </c>
      <c r="Q2429" s="296" t="s">
        <v>2283</v>
      </c>
      <c r="R2429" s="252">
        <f>(M2429*P2429)</f>
        <v>5082</v>
      </c>
      <c r="W2429" s="253"/>
    </row>
    <row r="2430" spans="6:23" ht="20.25" customHeight="1">
      <c r="H2430" s="296"/>
      <c r="J2430" s="296" t="s">
        <v>769</v>
      </c>
      <c r="K2430" s="252">
        <v>0</v>
      </c>
      <c r="O2430" s="1170"/>
      <c r="P2430" s="296" t="s">
        <v>975</v>
      </c>
      <c r="Q2430" s="296"/>
      <c r="R2430" s="296" t="s">
        <v>975</v>
      </c>
      <c r="W2430" s="253"/>
    </row>
    <row r="2431" spans="6:23" ht="20.25" customHeight="1">
      <c r="F2431" s="356"/>
      <c r="M2431" s="252">
        <v>0.22</v>
      </c>
      <c r="N2431" s="252" t="s">
        <v>869</v>
      </c>
      <c r="O2431" s="296" t="s">
        <v>1876</v>
      </c>
      <c r="P2431" s="252">
        <f t="shared" ref="P2431:P2436" si="253">I2424</f>
        <v>4756.78</v>
      </c>
      <c r="Q2431" s="296" t="s">
        <v>869</v>
      </c>
      <c r="R2431" s="252">
        <f>(M2431*P2431)</f>
        <v>1046.49</v>
      </c>
      <c r="W2431" s="253"/>
    </row>
    <row r="2432" spans="6:23" ht="20.25" customHeight="1">
      <c r="H2432" s="276" t="s">
        <v>441</v>
      </c>
      <c r="K2432" s="533" t="s">
        <v>146</v>
      </c>
      <c r="M2432" s="252">
        <v>64</v>
      </c>
      <c r="N2432" s="252" t="s">
        <v>1645</v>
      </c>
      <c r="O2432" s="296" t="s">
        <v>345</v>
      </c>
      <c r="P2432" s="252">
        <f t="shared" si="253"/>
        <v>6040</v>
      </c>
      <c r="Q2432" s="296" t="s">
        <v>346</v>
      </c>
      <c r="R2432" s="252">
        <f>P2432*M2432/1000</f>
        <v>386.56</v>
      </c>
      <c r="W2432" s="253"/>
    </row>
    <row r="2433" spans="6:23" ht="20.25" customHeight="1">
      <c r="H2433" s="276"/>
      <c r="K2433" s="274">
        <f>SUM(K2422:K2430)</f>
        <v>14794.2</v>
      </c>
      <c r="M2433" s="252">
        <v>4.5</v>
      </c>
      <c r="N2433" s="252" t="s">
        <v>1645</v>
      </c>
      <c r="O2433" s="296" t="s">
        <v>2896</v>
      </c>
      <c r="P2433" s="252">
        <f t="shared" si="253"/>
        <v>24.93</v>
      </c>
      <c r="Q2433" s="296" t="s">
        <v>1645</v>
      </c>
      <c r="R2433" s="252">
        <f>M2433*P2433</f>
        <v>112.19</v>
      </c>
      <c r="W2433" s="253"/>
    </row>
    <row r="2434" spans="6:23" ht="20.25" customHeight="1">
      <c r="H2434" s="276"/>
      <c r="K2434" s="535" t="s">
        <v>1224</v>
      </c>
      <c r="M2434" s="252">
        <v>5.4</v>
      </c>
      <c r="N2434" s="252" t="s">
        <v>769</v>
      </c>
      <c r="O2434" s="296" t="s">
        <v>347</v>
      </c>
      <c r="P2434" s="252">
        <f t="shared" si="253"/>
        <v>932</v>
      </c>
      <c r="Q2434" s="296" t="s">
        <v>769</v>
      </c>
      <c r="R2434" s="252">
        <f>(M2434*P2434)</f>
        <v>5032.8</v>
      </c>
      <c r="W2434" s="253"/>
    </row>
    <row r="2435" spans="6:23" ht="20.25" customHeight="1">
      <c r="F2435" s="296"/>
      <c r="H2435" s="276" t="s">
        <v>552</v>
      </c>
      <c r="I2435" s="296"/>
      <c r="K2435" s="360">
        <f>K2433/10</f>
        <v>1479.42</v>
      </c>
      <c r="M2435" s="252">
        <v>2.16</v>
      </c>
      <c r="N2435" s="252" t="s">
        <v>769</v>
      </c>
      <c r="O2435" s="296" t="s">
        <v>348</v>
      </c>
      <c r="P2435" s="252">
        <f t="shared" si="253"/>
        <v>651</v>
      </c>
      <c r="Q2435" s="296" t="s">
        <v>769</v>
      </c>
      <c r="R2435" s="252">
        <f>(M2435*P2435)</f>
        <v>1406.16</v>
      </c>
      <c r="W2435" s="253"/>
    </row>
    <row r="2436" spans="6:23" ht="20.25" customHeight="1">
      <c r="K2436" s="377" t="s">
        <v>146</v>
      </c>
      <c r="M2436" s="252">
        <v>6.5</v>
      </c>
      <c r="N2436" s="252" t="s">
        <v>769</v>
      </c>
      <c r="O2436" s="296" t="s">
        <v>1223</v>
      </c>
      <c r="P2436" s="252">
        <f t="shared" si="253"/>
        <v>534</v>
      </c>
      <c r="Q2436" s="296" t="s">
        <v>769</v>
      </c>
      <c r="R2436" s="252">
        <f>(M2436*P2436)</f>
        <v>3471</v>
      </c>
      <c r="W2436" s="253"/>
    </row>
    <row r="2437" spans="6:23" ht="20.25" customHeight="1">
      <c r="O2437" s="296"/>
      <c r="Q2437" s="296" t="s">
        <v>769</v>
      </c>
      <c r="R2437" s="252">
        <f>(M2437*P2437)</f>
        <v>0</v>
      </c>
      <c r="W2437" s="253"/>
    </row>
    <row r="2438" spans="6:23" ht="20.25" customHeight="1">
      <c r="M2438" s="356"/>
      <c r="Q2438" s="296"/>
      <c r="W2438" s="253"/>
    </row>
    <row r="2439" spans="6:23" ht="20.25" customHeight="1">
      <c r="H2439" s="276" t="s">
        <v>1225</v>
      </c>
      <c r="O2439" s="276" t="s">
        <v>441</v>
      </c>
      <c r="Q2439" s="296"/>
      <c r="R2439" s="533" t="s">
        <v>146</v>
      </c>
      <c r="W2439" s="253"/>
    </row>
    <row r="2440" spans="6:23" ht="20.25" customHeight="1">
      <c r="O2440" s="276"/>
      <c r="Q2440" s="296"/>
      <c r="R2440" s="274">
        <f>SUM(R2429:R2437)</f>
        <v>16537.2</v>
      </c>
      <c r="W2440" s="253"/>
    </row>
    <row r="2441" spans="6:23" ht="20.25" customHeight="1">
      <c r="F2441" s="252">
        <v>10</v>
      </c>
      <c r="G2441" s="252" t="s">
        <v>2283</v>
      </c>
      <c r="H2441" s="296" t="s">
        <v>212</v>
      </c>
      <c r="I2441" s="252">
        <f>K1213</f>
        <v>512.41</v>
      </c>
      <c r="J2441" s="296" t="s">
        <v>2283</v>
      </c>
      <c r="K2441" s="252">
        <f>F2441*I2441</f>
        <v>5124.1000000000004</v>
      </c>
      <c r="O2441" s="276"/>
      <c r="Q2441" s="296"/>
      <c r="R2441" s="535" t="s">
        <v>1224</v>
      </c>
      <c r="W2441" s="253"/>
    </row>
    <row r="2442" spans="6:23" ht="20.25"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1653.72</v>
      </c>
      <c r="W2442" s="253"/>
    </row>
    <row r="2443" spans="6:23" ht="20.25"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0.25" customHeight="1">
      <c r="H2444" s="252" t="s">
        <v>2271</v>
      </c>
      <c r="K2444" s="252">
        <v>0.2</v>
      </c>
      <c r="W2444" s="253"/>
    </row>
    <row r="2445" spans="6:23" ht="20.25" customHeight="1">
      <c r="K2445" s="358" t="s">
        <v>2055</v>
      </c>
      <c r="O2445" s="274" t="s">
        <v>940</v>
      </c>
      <c r="Q2445" s="296"/>
      <c r="W2445" s="253"/>
    </row>
    <row r="2446" spans="6:23" ht="20.25" customHeight="1">
      <c r="F2446" s="296" t="s">
        <v>975</v>
      </c>
      <c r="H2446" s="276" t="s">
        <v>441</v>
      </c>
      <c r="K2446" s="274">
        <f>SUM(K2441:K2444)</f>
        <v>7646.16</v>
      </c>
      <c r="M2446" s="356">
        <v>7.0999999999999994E-2</v>
      </c>
      <c r="N2446" s="252" t="s">
        <v>367</v>
      </c>
      <c r="O2446" s="252" t="s">
        <v>941</v>
      </c>
      <c r="P2446" s="252">
        <f>Z718</f>
        <v>7917.08</v>
      </c>
      <c r="Q2446" s="296" t="s">
        <v>368</v>
      </c>
      <c r="R2446" s="252">
        <f>P2446*M2446</f>
        <v>562.11</v>
      </c>
      <c r="W2446" s="253"/>
    </row>
    <row r="2447" spans="6:23" ht="20.25" customHeight="1">
      <c r="K2447" s="377" t="s">
        <v>146</v>
      </c>
      <c r="M2447" s="252">
        <v>1</v>
      </c>
      <c r="N2447" s="252" t="s">
        <v>2196</v>
      </c>
      <c r="O2447" s="252" t="s">
        <v>915</v>
      </c>
      <c r="P2447" s="252">
        <f>I2342</f>
        <v>398.52</v>
      </c>
      <c r="Q2447" s="296" t="s">
        <v>2196</v>
      </c>
      <c r="R2447" s="252">
        <f>P2447*M2447</f>
        <v>398.52</v>
      </c>
      <c r="W2447" s="253"/>
    </row>
    <row r="2448" spans="6:23" ht="20.25" customHeight="1">
      <c r="F2448" s="296" t="s">
        <v>975</v>
      </c>
      <c r="H2448" s="276" t="s">
        <v>552</v>
      </c>
      <c r="K2448" s="360">
        <f>K2446/10</f>
        <v>764.62</v>
      </c>
      <c r="M2448" s="252" t="s">
        <v>975</v>
      </c>
      <c r="O2448" s="252" t="s">
        <v>369</v>
      </c>
      <c r="Q2448" s="296"/>
      <c r="R2448" s="274">
        <f>SUM(R2446:R2447)</f>
        <v>960.63</v>
      </c>
      <c r="W2448" s="253"/>
    </row>
    <row r="2449" spans="6:23" ht="20.25" customHeight="1">
      <c r="K2449" s="377" t="s">
        <v>146</v>
      </c>
      <c r="W2449" s="253"/>
    </row>
    <row r="2450" spans="6:23" ht="20.25" customHeight="1">
      <c r="W2450" s="253"/>
    </row>
    <row r="2451" spans="6:23" ht="20.25" customHeight="1">
      <c r="W2451" s="253"/>
    </row>
    <row r="2452" spans="6:23" ht="20.25" customHeight="1">
      <c r="W2452" s="253"/>
    </row>
    <row r="2453" spans="6:23" ht="20.25" customHeight="1">
      <c r="W2453" s="253"/>
    </row>
    <row r="2454" spans="6:23" ht="20.25" customHeight="1">
      <c r="H2454" s="274" t="s">
        <v>213</v>
      </c>
      <c r="W2454" s="253"/>
    </row>
    <row r="2455" spans="6:23" ht="20.25" customHeight="1">
      <c r="W2455" s="253"/>
    </row>
    <row r="2456" spans="6:23" ht="20.25" customHeight="1">
      <c r="F2456" s="296" t="s">
        <v>214</v>
      </c>
      <c r="G2456" s="296"/>
      <c r="H2456" s="296"/>
      <c r="I2456" s="252">
        <v>15.21</v>
      </c>
      <c r="J2456" s="296" t="s">
        <v>359</v>
      </c>
      <c r="W2456" s="253"/>
    </row>
    <row r="2457" spans="6:23" ht="20.25" customHeight="1">
      <c r="F2457" s="252" t="s">
        <v>215</v>
      </c>
      <c r="I2457" s="252">
        <v>22.61</v>
      </c>
      <c r="J2457" s="296" t="s">
        <v>359</v>
      </c>
      <c r="W2457" s="253"/>
    </row>
    <row r="2458" spans="6:23" ht="20.25" customHeight="1">
      <c r="F2458" s="252" t="s">
        <v>511</v>
      </c>
      <c r="I2458" s="252">
        <v>3.24</v>
      </c>
      <c r="J2458" s="296" t="s">
        <v>359</v>
      </c>
      <c r="W2458" s="253"/>
    </row>
    <row r="2459" spans="6:23" ht="20.25" customHeight="1">
      <c r="F2459" s="252" t="s">
        <v>512</v>
      </c>
      <c r="I2459" s="252">
        <v>2.16</v>
      </c>
      <c r="J2459" s="296" t="s">
        <v>359</v>
      </c>
      <c r="W2459" s="253"/>
    </row>
    <row r="2460" spans="6:23" ht="20.25" customHeight="1">
      <c r="W2460" s="253"/>
    </row>
    <row r="2461" spans="6:23" ht="20.25" customHeight="1">
      <c r="I2461" s="377" t="s">
        <v>146</v>
      </c>
      <c r="W2461" s="253"/>
    </row>
    <row r="2462" spans="6:23" ht="20.25" customHeight="1">
      <c r="I2462" s="252">
        <f>SUM(I2456:I2460)</f>
        <v>43.22</v>
      </c>
      <c r="W2462" s="253"/>
    </row>
    <row r="2463" spans="6:23" ht="20.25" customHeight="1">
      <c r="I2463" s="252" t="s">
        <v>1685</v>
      </c>
      <c r="W2463" s="253"/>
    </row>
    <row r="2464" spans="6:23" ht="20.25" customHeight="1">
      <c r="W2464" s="253"/>
    </row>
    <row r="2465" spans="6:23" ht="20.25" customHeight="1">
      <c r="W2465" s="253"/>
    </row>
    <row r="2466" spans="6:23" ht="20.25" customHeight="1">
      <c r="F2466" s="252">
        <v>43.22</v>
      </c>
      <c r="G2466" s="252" t="s">
        <v>1645</v>
      </c>
      <c r="H2466" s="422" t="s">
        <v>513</v>
      </c>
      <c r="I2466" s="252">
        <f>C660</f>
        <v>70.150000000000006</v>
      </c>
      <c r="J2466" s="296" t="s">
        <v>1645</v>
      </c>
      <c r="K2466" s="252">
        <f>I2466*F2466</f>
        <v>3031.88</v>
      </c>
      <c r="W2466" s="253"/>
    </row>
    <row r="2467" spans="6:23" ht="20.25" customHeight="1">
      <c r="F2467" s="252">
        <v>0.81</v>
      </c>
      <c r="G2467" s="252" t="s">
        <v>2283</v>
      </c>
      <c r="H2467" s="252" t="s">
        <v>2122</v>
      </c>
      <c r="I2467" s="252">
        <f>C199</f>
        <v>379.9</v>
      </c>
      <c r="J2467" s="296" t="s">
        <v>2283</v>
      </c>
      <c r="K2467" s="252">
        <f>I2467*F2467</f>
        <v>307.72000000000003</v>
      </c>
      <c r="W2467" s="253"/>
    </row>
    <row r="2468" spans="6:23" ht="20.25" customHeight="1">
      <c r="F2468" s="252">
        <v>0.81</v>
      </c>
      <c r="G2468" s="252" t="s">
        <v>2283</v>
      </c>
      <c r="H2468" s="252" t="s">
        <v>1951</v>
      </c>
      <c r="I2468" s="252">
        <f>D199</f>
        <v>116.55</v>
      </c>
      <c r="J2468" s="296" t="s">
        <v>2283</v>
      </c>
      <c r="K2468" s="252">
        <f>I2468*F2468</f>
        <v>94.41</v>
      </c>
      <c r="W2468" s="253"/>
    </row>
    <row r="2469" spans="6:23" ht="20.25" customHeight="1">
      <c r="H2469" s="252" t="s">
        <v>515</v>
      </c>
      <c r="I2469" s="420">
        <f>46.61</f>
        <v>46.61</v>
      </c>
      <c r="J2469" s="296" t="s">
        <v>449</v>
      </c>
      <c r="K2469" s="252">
        <f>I2469</f>
        <v>46.61</v>
      </c>
      <c r="W2469" s="253"/>
    </row>
    <row r="2470" spans="6:23" ht="20.25" customHeight="1">
      <c r="K2470" s="377" t="s">
        <v>146</v>
      </c>
      <c r="W2470" s="253"/>
    </row>
    <row r="2471" spans="6:23" ht="20.25" customHeight="1">
      <c r="H2471" s="274" t="s">
        <v>516</v>
      </c>
      <c r="K2471" s="274">
        <f>SUM(K2466:K2469)</f>
        <v>3480.62</v>
      </c>
      <c r="W2471" s="253"/>
    </row>
    <row r="2472" spans="6:23" ht="20.25" customHeight="1">
      <c r="H2472" s="252">
        <f>0.6*1.35</f>
        <v>0.81</v>
      </c>
      <c r="K2472" s="377" t="s">
        <v>146</v>
      </c>
      <c r="W2472" s="253"/>
    </row>
    <row r="2473" spans="6:23" ht="20.25" customHeight="1">
      <c r="H2473" s="274" t="s">
        <v>510</v>
      </c>
      <c r="K2473" s="274">
        <f>K2471/H2472</f>
        <v>4297.0600000000004</v>
      </c>
      <c r="W2473" s="253"/>
    </row>
    <row r="2474" spans="6:23" ht="20.25" customHeight="1">
      <c r="W2474" s="253"/>
    </row>
    <row r="2475" spans="6:23" ht="20.25" customHeight="1">
      <c r="F2475" s="296" t="s">
        <v>2138</v>
      </c>
      <c r="G2475" s="296"/>
      <c r="H2475" s="296"/>
      <c r="I2475" s="252">
        <v>11.78</v>
      </c>
      <c r="J2475" s="296" t="s">
        <v>359</v>
      </c>
      <c r="W2475" s="253"/>
    </row>
    <row r="2476" spans="6:23" ht="20.25" customHeight="1">
      <c r="F2476" s="252" t="s">
        <v>1350</v>
      </c>
      <c r="I2476" s="252">
        <v>15.07</v>
      </c>
      <c r="J2476" s="296" t="s">
        <v>359</v>
      </c>
      <c r="W2476" s="253"/>
    </row>
    <row r="2477" spans="6:23" ht="20.25" customHeight="1">
      <c r="F2477" s="252" t="s">
        <v>2034</v>
      </c>
      <c r="I2477" s="252">
        <v>2.16</v>
      </c>
      <c r="J2477" s="296" t="s">
        <v>359</v>
      </c>
      <c r="W2477" s="253"/>
    </row>
    <row r="2478" spans="6:23" ht="20.25" customHeight="1">
      <c r="F2478" s="252" t="s">
        <v>512</v>
      </c>
      <c r="I2478" s="252">
        <v>2.16</v>
      </c>
      <c r="J2478" s="296" t="s">
        <v>359</v>
      </c>
      <c r="W2478" s="253"/>
    </row>
    <row r="2479" spans="6:23" ht="20.25" customHeight="1">
      <c r="F2479" s="252" t="s">
        <v>542</v>
      </c>
      <c r="I2479" s="252">
        <f>1.91-0.08</f>
        <v>1.83</v>
      </c>
      <c r="W2479" s="253"/>
    </row>
    <row r="2480" spans="6:23" ht="20.25" customHeight="1">
      <c r="I2480" s="377" t="s">
        <v>879</v>
      </c>
      <c r="W2480" s="253"/>
    </row>
    <row r="2481" spans="6:23" ht="20.25" customHeight="1">
      <c r="I2481" s="274">
        <f>SUM(I2475:I2479)</f>
        <v>33</v>
      </c>
      <c r="J2481" s="296" t="s">
        <v>359</v>
      </c>
      <c r="W2481" s="253"/>
    </row>
    <row r="2482" spans="6:23" ht="20.25" customHeight="1">
      <c r="I2482" s="377" t="s">
        <v>879</v>
      </c>
      <c r="W2482" s="253"/>
    </row>
    <row r="2483" spans="6:23" ht="20.25" customHeight="1">
      <c r="W2483" s="253"/>
    </row>
    <row r="2484" spans="6:23" ht="20.25" customHeight="1">
      <c r="W2484" s="253"/>
    </row>
    <row r="2485" spans="6:23" ht="20.25" customHeight="1">
      <c r="F2485" s="252">
        <f>I2481</f>
        <v>33</v>
      </c>
      <c r="G2485" s="252" t="s">
        <v>1645</v>
      </c>
      <c r="H2485" s="252" t="s">
        <v>513</v>
      </c>
      <c r="I2485" s="252">
        <f>I2466</f>
        <v>70.150000000000006</v>
      </c>
      <c r="J2485" s="296" t="s">
        <v>1645</v>
      </c>
      <c r="K2485" s="252">
        <f>I2485*F2485</f>
        <v>2314.9499999999998</v>
      </c>
      <c r="W2485" s="253"/>
    </row>
    <row r="2486" spans="6:23" ht="20.25" customHeight="1">
      <c r="F2486" s="252">
        <v>0.54</v>
      </c>
      <c r="G2486" s="252" t="s">
        <v>2283</v>
      </c>
      <c r="H2486" s="252" t="s">
        <v>2122</v>
      </c>
      <c r="I2486" s="252">
        <f>I2467</f>
        <v>379.9</v>
      </c>
      <c r="J2486" s="296" t="s">
        <v>2283</v>
      </c>
      <c r="K2486" s="252">
        <f>I2486*F2486</f>
        <v>205.15</v>
      </c>
      <c r="W2486" s="253"/>
    </row>
    <row r="2487" spans="6:23" ht="20.25" customHeight="1">
      <c r="F2487" s="252">
        <v>0.54</v>
      </c>
      <c r="G2487" s="252" t="s">
        <v>2283</v>
      </c>
      <c r="H2487" s="252" t="str">
        <f>H2468</f>
        <v>Fly proof  Mesh</v>
      </c>
      <c r="I2487" s="252">
        <f>I2468</f>
        <v>116.55</v>
      </c>
      <c r="J2487" s="296" t="s">
        <v>2283</v>
      </c>
      <c r="K2487" s="252">
        <f>I2487*F2487</f>
        <v>62.94</v>
      </c>
      <c r="W2487" s="253"/>
    </row>
    <row r="2488" spans="6:23" ht="20.25" customHeight="1">
      <c r="H2488" s="252" t="s">
        <v>515</v>
      </c>
      <c r="I2488" s="420">
        <v>53.5</v>
      </c>
      <c r="J2488" s="296" t="s">
        <v>449</v>
      </c>
      <c r="K2488" s="252">
        <v>52.8</v>
      </c>
      <c r="W2488" s="253"/>
    </row>
    <row r="2489" spans="6:23" ht="20.25" customHeight="1">
      <c r="K2489" s="377" t="s">
        <v>146</v>
      </c>
      <c r="W2489" s="253"/>
    </row>
    <row r="2490" spans="6:23" ht="20.25" customHeight="1">
      <c r="H2490" s="274" t="s">
        <v>516</v>
      </c>
      <c r="K2490" s="274">
        <f>SUM(K2485:K2488)</f>
        <v>2635.84</v>
      </c>
      <c r="W2490" s="253"/>
    </row>
    <row r="2491" spans="6:23" ht="20.25" customHeight="1">
      <c r="K2491" s="377" t="s">
        <v>146</v>
      </c>
      <c r="W2491" s="253"/>
    </row>
    <row r="2492" spans="6:23" ht="20.25" customHeight="1">
      <c r="I2492" s="274" t="s">
        <v>2789</v>
      </c>
      <c r="K2492" s="274">
        <f>K2490/0.54</f>
        <v>4881.1899999999996</v>
      </c>
      <c r="W2492" s="253"/>
    </row>
    <row r="2493" spans="6:23" ht="20.25" customHeight="1">
      <c r="W2493" s="253"/>
    </row>
    <row r="2494" spans="6:23" ht="20.25" customHeight="1">
      <c r="W2494" s="253"/>
    </row>
    <row r="2495" spans="6:23" ht="20.25" customHeight="1">
      <c r="H2495" s="274" t="s">
        <v>1993</v>
      </c>
      <c r="W2495" s="253"/>
    </row>
    <row r="2496" spans="6:23" ht="20.25" customHeight="1">
      <c r="W2496" s="253"/>
    </row>
    <row r="2497" spans="6:23" ht="20.25" customHeight="1">
      <c r="F2497" s="296" t="s">
        <v>1828</v>
      </c>
      <c r="G2497" s="296"/>
      <c r="H2497" s="296"/>
      <c r="I2497" s="252">
        <v>9.42</v>
      </c>
      <c r="J2497" s="296" t="s">
        <v>359</v>
      </c>
      <c r="K2497" s="296"/>
      <c r="W2497" s="253"/>
    </row>
    <row r="2498" spans="6:23" ht="20.25" customHeight="1">
      <c r="F2498" s="252" t="s">
        <v>1829</v>
      </c>
      <c r="I2498" s="252">
        <v>9.42</v>
      </c>
      <c r="J2498" s="296" t="s">
        <v>359</v>
      </c>
      <c r="K2498" s="296"/>
      <c r="W2498" s="253"/>
    </row>
    <row r="2499" spans="6:23" ht="20.25" customHeight="1">
      <c r="F2499" s="252" t="s">
        <v>70</v>
      </c>
      <c r="I2499" s="252">
        <v>1.44</v>
      </c>
      <c r="J2499" s="296" t="s">
        <v>359</v>
      </c>
      <c r="K2499" s="296"/>
      <c r="W2499" s="253"/>
    </row>
    <row r="2500" spans="6:23" ht="20.25" customHeight="1">
      <c r="F2500" s="252" t="s">
        <v>512</v>
      </c>
      <c r="I2500" s="252">
        <v>2.16</v>
      </c>
      <c r="J2500" s="296" t="s">
        <v>359</v>
      </c>
      <c r="K2500" s="296"/>
      <c r="W2500" s="253"/>
    </row>
    <row r="2501" spans="6:23" ht="20.25" customHeight="1">
      <c r="F2501" s="252" t="s">
        <v>542</v>
      </c>
      <c r="I2501" s="252">
        <v>1.56</v>
      </c>
      <c r="K2501" s="296"/>
      <c r="W2501" s="253"/>
    </row>
    <row r="2502" spans="6:23" ht="20.25" customHeight="1">
      <c r="I2502" s="377" t="s">
        <v>879</v>
      </c>
      <c r="K2502" s="296"/>
      <c r="O2502" s="274" t="s">
        <v>2600</v>
      </c>
      <c r="Q2502" s="296"/>
      <c r="W2502" s="253"/>
    </row>
    <row r="2503" spans="6:23" ht="20.25" customHeight="1">
      <c r="I2503" s="252">
        <f>SUM(I2497:I2501)</f>
        <v>24</v>
      </c>
      <c r="J2503" s="296" t="s">
        <v>359</v>
      </c>
      <c r="K2503" s="296"/>
      <c r="Q2503" s="296"/>
      <c r="W2503" s="253"/>
    </row>
    <row r="2504" spans="6:23" ht="20.25" customHeight="1">
      <c r="I2504" s="377" t="s">
        <v>879</v>
      </c>
      <c r="M2504" s="296" t="s">
        <v>2601</v>
      </c>
      <c r="N2504" s="296"/>
      <c r="O2504" s="296"/>
      <c r="P2504" s="356">
        <f>3.77*3.9</f>
        <v>14.702999999999999</v>
      </c>
      <c r="Q2504" s="296" t="s">
        <v>359</v>
      </c>
      <c r="R2504" s="296"/>
      <c r="W2504" s="253"/>
    </row>
    <row r="2505" spans="6:23" ht="20.25" customHeight="1">
      <c r="M2505" s="252" t="s">
        <v>2602</v>
      </c>
      <c r="P2505" s="252">
        <f>12*0.6*3.14</f>
        <v>22.61</v>
      </c>
      <c r="Q2505" s="296" t="s">
        <v>359</v>
      </c>
      <c r="R2505" s="296"/>
      <c r="W2505" s="253"/>
    </row>
    <row r="2506" spans="6:23" ht="20.25" customHeight="1">
      <c r="M2506" s="252" t="s">
        <v>3227</v>
      </c>
      <c r="P2506" s="252">
        <f>2*1.285*1.2</f>
        <v>3.08</v>
      </c>
      <c r="Q2506" s="296" t="s">
        <v>359</v>
      </c>
      <c r="R2506" s="296"/>
      <c r="W2506" s="253"/>
    </row>
    <row r="2507" spans="6:23" ht="20.25"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0.25"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0.25" customHeight="1">
      <c r="F2509" s="252">
        <v>0.36</v>
      </c>
      <c r="G2509" s="252" t="s">
        <v>2283</v>
      </c>
      <c r="H2509" s="252" t="s">
        <v>514</v>
      </c>
      <c r="I2509" s="252">
        <f>C198</f>
        <v>40.65</v>
      </c>
      <c r="J2509" s="296" t="s">
        <v>2283</v>
      </c>
      <c r="K2509" s="252">
        <f>I2509*F2509</f>
        <v>14.63</v>
      </c>
      <c r="P2509" s="377" t="s">
        <v>879</v>
      </c>
      <c r="Q2509" s="296"/>
      <c r="R2509" s="296"/>
      <c r="W2509" s="253"/>
    </row>
    <row r="2510" spans="6:23" ht="20.25" customHeight="1">
      <c r="H2510" s="252" t="s">
        <v>571</v>
      </c>
      <c r="I2510" s="432">
        <v>28.34</v>
      </c>
      <c r="J2510" s="296" t="s">
        <v>449</v>
      </c>
      <c r="K2510" s="252">
        <f>28.14</f>
        <v>28.14</v>
      </c>
      <c r="P2510" s="316">
        <f>SUM(P2504:P2508)</f>
        <v>42.713000000000001</v>
      </c>
      <c r="Q2510" s="296" t="s">
        <v>359</v>
      </c>
      <c r="R2510" s="296">
        <f>42.55-42.713</f>
        <v>-0.16</v>
      </c>
      <c r="W2510" s="253"/>
    </row>
    <row r="2511" spans="6:23" ht="20.25" customHeight="1">
      <c r="K2511" s="377" t="s">
        <v>146</v>
      </c>
      <c r="P2511" s="377" t="s">
        <v>879</v>
      </c>
      <c r="Q2511" s="296"/>
      <c r="W2511" s="253"/>
    </row>
    <row r="2512" spans="6:23" ht="20.25" customHeight="1">
      <c r="H2512" s="274" t="s">
        <v>516</v>
      </c>
      <c r="K2512" s="274">
        <f>SUM(K2507:K2510)</f>
        <v>1863.13</v>
      </c>
      <c r="Q2512" s="296"/>
      <c r="W2512" s="253"/>
    </row>
    <row r="2513" spans="6:23" ht="20.25" customHeight="1">
      <c r="K2513" s="377" t="s">
        <v>146</v>
      </c>
      <c r="Q2513" s="296"/>
      <c r="W2513" s="253"/>
    </row>
    <row r="2514" spans="6:23" ht="20.25"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0.25"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0.25" customHeight="1">
      <c r="M2516" s="252">
        <v>0.77</v>
      </c>
      <c r="N2516" s="252" t="s">
        <v>2283</v>
      </c>
      <c r="O2516" s="252" t="s">
        <v>514</v>
      </c>
      <c r="P2516" s="252">
        <f>I2509</f>
        <v>40.65</v>
      </c>
      <c r="Q2516" s="296" t="s">
        <v>2283</v>
      </c>
      <c r="R2516" s="252">
        <f>P2516*M2516</f>
        <v>31.3</v>
      </c>
      <c r="W2516" s="253"/>
    </row>
    <row r="2517" spans="6:23" ht="20.25" customHeight="1">
      <c r="F2517" s="274" t="s">
        <v>438</v>
      </c>
      <c r="G2517" s="274"/>
      <c r="O2517" s="252" t="s">
        <v>571</v>
      </c>
      <c r="P2517" s="252">
        <f>I2510</f>
        <v>28.34</v>
      </c>
      <c r="Q2517" s="296" t="s">
        <v>449</v>
      </c>
      <c r="R2517" s="252">
        <f>28.34+0.11</f>
        <v>28.45</v>
      </c>
      <c r="W2517" s="253"/>
    </row>
    <row r="2518" spans="6:23" ht="20.25" customHeight="1">
      <c r="Q2518" s="296"/>
      <c r="R2518" s="377" t="s">
        <v>146</v>
      </c>
      <c r="W2518" s="253"/>
    </row>
    <row r="2519" spans="6:23" ht="20.25" customHeight="1">
      <c r="F2519" s="252" t="s">
        <v>795</v>
      </c>
      <c r="I2519" s="252">
        <v>3.93</v>
      </c>
      <c r="J2519" s="296" t="s">
        <v>1645</v>
      </c>
      <c r="O2519" s="274" t="s">
        <v>516</v>
      </c>
      <c r="Q2519" s="296"/>
      <c r="R2519" s="274">
        <f>SUM(R2514:R2517)</f>
        <v>3348.59</v>
      </c>
      <c r="W2519" s="253"/>
    </row>
    <row r="2520" spans="6:23" ht="20.25" customHeight="1">
      <c r="F2520" s="252" t="s">
        <v>2231</v>
      </c>
      <c r="I2520" s="252">
        <v>3.14</v>
      </c>
      <c r="J2520" s="296" t="s">
        <v>1645</v>
      </c>
      <c r="Q2520" s="296"/>
      <c r="R2520" s="377" t="s">
        <v>146</v>
      </c>
      <c r="W2520" s="253"/>
    </row>
    <row r="2521" spans="6:23" ht="20.25" customHeight="1">
      <c r="F2521" s="252" t="s">
        <v>210</v>
      </c>
      <c r="I2521" s="252">
        <v>1.18</v>
      </c>
      <c r="J2521" s="296" t="s">
        <v>1645</v>
      </c>
      <c r="O2521" s="360" t="s">
        <v>2789</v>
      </c>
      <c r="Q2521" s="296"/>
      <c r="R2521" s="274">
        <f>R2519/M2515</f>
        <v>4348.82</v>
      </c>
      <c r="W2521" s="253"/>
    </row>
    <row r="2522" spans="6:23" ht="20.25" customHeight="1">
      <c r="N2522" s="252">
        <f>1.285*0.6</f>
        <v>0.77</v>
      </c>
      <c r="W2522" s="253"/>
    </row>
    <row r="2523" spans="6:23" ht="20.25" customHeight="1">
      <c r="W2523" s="253"/>
    </row>
    <row r="2524" spans="6:23" ht="20.25" customHeight="1">
      <c r="H2524" s="274" t="s">
        <v>1726</v>
      </c>
      <c r="W2524" s="253"/>
    </row>
    <row r="2525" spans="6:23" ht="20.25" customHeight="1">
      <c r="W2525" s="253"/>
    </row>
    <row r="2526" spans="6:23" ht="20.25" customHeight="1">
      <c r="W2526" s="253"/>
    </row>
    <row r="2527" spans="6:23" ht="20.25" customHeight="1">
      <c r="F2527" s="252" t="s">
        <v>1469</v>
      </c>
      <c r="I2527" s="252">
        <v>24.34</v>
      </c>
      <c r="J2527" s="296" t="s">
        <v>1645</v>
      </c>
      <c r="W2527" s="253"/>
    </row>
    <row r="2528" spans="6:23" ht="20.25" customHeight="1">
      <c r="F2528" s="252" t="s">
        <v>110</v>
      </c>
      <c r="I2528" s="252">
        <v>11.78</v>
      </c>
      <c r="J2528" s="296" t="s">
        <v>1645</v>
      </c>
      <c r="W2528" s="253"/>
    </row>
    <row r="2529" spans="6:23" ht="20.25" customHeight="1">
      <c r="F2529" s="252" t="s">
        <v>574</v>
      </c>
      <c r="I2529" s="252">
        <v>59.35</v>
      </c>
      <c r="J2529" s="296" t="s">
        <v>1645</v>
      </c>
      <c r="W2529" s="253"/>
    </row>
    <row r="2530" spans="6:23" ht="20.25" customHeight="1">
      <c r="F2530" s="252" t="s">
        <v>575</v>
      </c>
      <c r="I2530" s="252">
        <v>5.04</v>
      </c>
      <c r="J2530" s="296" t="s">
        <v>1645</v>
      </c>
      <c r="W2530" s="253"/>
    </row>
    <row r="2531" spans="6:23" ht="20.25" customHeight="1">
      <c r="F2531" s="252" t="s">
        <v>576</v>
      </c>
      <c r="I2531" s="252">
        <v>4.8</v>
      </c>
      <c r="J2531" s="296" t="s">
        <v>1645</v>
      </c>
      <c r="W2531" s="253"/>
    </row>
    <row r="2532" spans="6:23" ht="20.25" customHeight="1">
      <c r="F2532" s="252" t="s">
        <v>577</v>
      </c>
      <c r="I2532" s="252">
        <v>2.69</v>
      </c>
      <c r="W2532" s="253"/>
    </row>
    <row r="2533" spans="6:23" ht="20.25" customHeight="1">
      <c r="I2533" s="377" t="s">
        <v>879</v>
      </c>
      <c r="W2533" s="253"/>
    </row>
    <row r="2534" spans="6:23" ht="20.25" customHeight="1">
      <c r="I2534" s="274">
        <f>SUM(I2527:I2532)</f>
        <v>108</v>
      </c>
      <c r="J2534" s="296" t="s">
        <v>1645</v>
      </c>
      <c r="W2534" s="253"/>
    </row>
    <row r="2535" spans="6:23" ht="20.25" customHeight="1">
      <c r="I2535" s="377" t="s">
        <v>879</v>
      </c>
      <c r="W2535" s="253"/>
    </row>
    <row r="2536" spans="6:23" ht="20.25" customHeight="1">
      <c r="L2536" s="252" t="s">
        <v>1696</v>
      </c>
      <c r="W2536" s="253"/>
    </row>
    <row r="2537" spans="6:23" ht="20.25" customHeight="1">
      <c r="F2537" s="252">
        <v>108</v>
      </c>
      <c r="G2537" s="252" t="s">
        <v>1645</v>
      </c>
      <c r="H2537" s="252" t="s">
        <v>578</v>
      </c>
      <c r="I2537" s="252">
        <f>I2466</f>
        <v>70.150000000000006</v>
      </c>
      <c r="J2537" s="296" t="s">
        <v>1645</v>
      </c>
      <c r="K2537" s="252">
        <f>F2537*I2537</f>
        <v>7576.2</v>
      </c>
      <c r="W2537" s="253"/>
    </row>
    <row r="2538" spans="6:23" ht="20.25" customHeight="1">
      <c r="F2538" s="252">
        <v>2.1</v>
      </c>
      <c r="G2538" s="252" t="s">
        <v>2283</v>
      </c>
      <c r="H2538" s="252" t="s">
        <v>2122</v>
      </c>
      <c r="I2538" s="252">
        <f>I2467</f>
        <v>379.9</v>
      </c>
      <c r="J2538" s="296" t="s">
        <v>2283</v>
      </c>
      <c r="K2538" s="252">
        <f>F2538*I2538</f>
        <v>797.79</v>
      </c>
      <c r="L2538" s="356">
        <v>42.713000000000001</v>
      </c>
      <c r="W2538" s="253"/>
    </row>
    <row r="2539" spans="6:23" ht="20.25" customHeight="1">
      <c r="F2539" s="252">
        <v>2.1</v>
      </c>
      <c r="G2539" s="252" t="s">
        <v>2283</v>
      </c>
      <c r="H2539" s="252" t="s">
        <v>1952</v>
      </c>
      <c r="I2539" s="252">
        <f>I2468</f>
        <v>116.55</v>
      </c>
      <c r="J2539" s="296" t="s">
        <v>2283</v>
      </c>
      <c r="K2539" s="252">
        <f>F2539*I2539</f>
        <v>244.76</v>
      </c>
      <c r="L2539" s="252">
        <v>0.77</v>
      </c>
      <c r="W2539" s="253"/>
    </row>
    <row r="2540" spans="6:23" ht="20.25" customHeight="1">
      <c r="H2540" s="252" t="s">
        <v>123</v>
      </c>
      <c r="I2540" s="252">
        <v>267.10000000000002</v>
      </c>
      <c r="J2540" s="296" t="s">
        <v>449</v>
      </c>
      <c r="K2540" s="252">
        <f>I2540</f>
        <v>267.10000000000002</v>
      </c>
      <c r="L2540" s="252">
        <v>0.77</v>
      </c>
      <c r="W2540" s="253"/>
    </row>
    <row r="2541" spans="6:23" ht="20.25" customHeight="1">
      <c r="K2541" s="377" t="s">
        <v>146</v>
      </c>
      <c r="W2541" s="253"/>
    </row>
    <row r="2542" spans="6:23" ht="20.25" customHeight="1">
      <c r="K2542" s="252">
        <f>SUM(K2537:K2540)</f>
        <v>8885.85</v>
      </c>
      <c r="W2542" s="253"/>
    </row>
    <row r="2543" spans="6:23" ht="20.25" customHeight="1">
      <c r="H2543" s="252" t="s">
        <v>124</v>
      </c>
      <c r="I2543" s="252">
        <v>500</v>
      </c>
      <c r="J2543" s="296" t="s">
        <v>449</v>
      </c>
      <c r="K2543" s="252">
        <f>I2543</f>
        <v>500</v>
      </c>
      <c r="W2543" s="253"/>
    </row>
    <row r="2544" spans="6:23" ht="20.25" customHeight="1">
      <c r="K2544" s="377" t="s">
        <v>146</v>
      </c>
      <c r="W2544" s="253"/>
    </row>
    <row r="2545" spans="6:23" ht="20.25" customHeight="1">
      <c r="H2545" s="274" t="s">
        <v>125</v>
      </c>
      <c r="K2545" s="274">
        <f>SUM(K2542:K2543)</f>
        <v>9385.85</v>
      </c>
      <c r="W2545" s="253"/>
    </row>
    <row r="2546" spans="6:23" ht="20.25" customHeight="1">
      <c r="K2546" s="377" t="s">
        <v>146</v>
      </c>
      <c r="W2546" s="253"/>
    </row>
    <row r="2547" spans="6:23" ht="20.25" customHeight="1">
      <c r="W2547" s="253"/>
    </row>
    <row r="2548" spans="6:23" ht="20.25" customHeight="1">
      <c r="K2548" s="252">
        <f>8054-K2545</f>
        <v>-1331.85</v>
      </c>
      <c r="W2548" s="253"/>
    </row>
    <row r="2549" spans="6:23" ht="20.25" customHeight="1">
      <c r="W2549" s="253"/>
    </row>
    <row r="2550" spans="6:23" ht="20.25" customHeight="1">
      <c r="H2550" s="274" t="s">
        <v>11</v>
      </c>
      <c r="W2550" s="253"/>
    </row>
    <row r="2551" spans="6:23" ht="20.25" customHeight="1">
      <c r="W2551" s="253"/>
    </row>
    <row r="2552" spans="6:23" ht="20.25" customHeight="1">
      <c r="F2552" s="274" t="s">
        <v>438</v>
      </c>
      <c r="G2552" s="274"/>
      <c r="W2552" s="253"/>
    </row>
    <row r="2553" spans="6:23" ht="20.25" customHeight="1">
      <c r="W2553" s="253"/>
    </row>
    <row r="2554" spans="6:23" ht="20.25" customHeight="1">
      <c r="F2554" s="252" t="s">
        <v>815</v>
      </c>
      <c r="I2554" s="356">
        <v>2.944</v>
      </c>
      <c r="J2554" s="296" t="s">
        <v>1645</v>
      </c>
      <c r="W2554" s="253"/>
    </row>
    <row r="2555" spans="6:23" ht="20.25" customHeight="1">
      <c r="F2555" s="252" t="s">
        <v>1263</v>
      </c>
      <c r="I2555" s="356">
        <v>2.355</v>
      </c>
      <c r="J2555" s="296" t="s">
        <v>1645</v>
      </c>
      <c r="W2555" s="253"/>
    </row>
    <row r="2556" spans="6:23" ht="20.25" customHeight="1">
      <c r="F2556" s="252" t="s">
        <v>1236</v>
      </c>
      <c r="I2556" s="356">
        <v>0.88300000000000001</v>
      </c>
      <c r="J2556" s="296" t="s">
        <v>1645</v>
      </c>
      <c r="W2556" s="253"/>
    </row>
    <row r="2557" spans="6:23" ht="20.25" customHeight="1">
      <c r="W2557" s="253"/>
    </row>
    <row r="2558" spans="6:23" ht="20.25" customHeight="1">
      <c r="W2558" s="253"/>
    </row>
    <row r="2559" spans="6:23" ht="20.25" customHeight="1">
      <c r="H2559" s="274" t="s">
        <v>11</v>
      </c>
      <c r="W2559" s="253"/>
    </row>
    <row r="2560" spans="6:23" ht="20.25" customHeight="1">
      <c r="W2560" s="253"/>
    </row>
    <row r="2561" spans="6:23" ht="20.25" customHeight="1">
      <c r="N2561" s="536">
        <v>24.1</v>
      </c>
      <c r="O2561" s="274" t="s">
        <v>2600</v>
      </c>
      <c r="Q2561" s="296"/>
      <c r="W2561" s="253"/>
    </row>
    <row r="2562" spans="6:23" ht="20.25" customHeight="1">
      <c r="F2562" s="252" t="s">
        <v>1222</v>
      </c>
      <c r="I2562" s="252">
        <v>16.38</v>
      </c>
      <c r="J2562" s="296" t="s">
        <v>1645</v>
      </c>
      <c r="N2562" s="358" t="s">
        <v>2055</v>
      </c>
      <c r="O2562" s="533"/>
      <c r="Q2562" s="296"/>
      <c r="W2562" s="253"/>
    </row>
    <row r="2563" spans="6:23" ht="20.25" customHeight="1">
      <c r="F2563" s="252" t="s">
        <v>1229</v>
      </c>
      <c r="I2563" s="252">
        <v>8.7799999999999994</v>
      </c>
      <c r="J2563" s="296" t="s">
        <v>1645</v>
      </c>
      <c r="M2563" s="296" t="s">
        <v>2449</v>
      </c>
      <c r="N2563" s="296"/>
      <c r="O2563" s="296"/>
      <c r="P2563" s="252">
        <v>14.8</v>
      </c>
      <c r="Q2563" s="296" t="s">
        <v>359</v>
      </c>
      <c r="W2563" s="253"/>
    </row>
    <row r="2564" spans="6:23" ht="20.25" customHeight="1">
      <c r="F2564" s="252" t="s">
        <v>1605</v>
      </c>
      <c r="I2564" s="252">
        <v>37.67</v>
      </c>
      <c r="J2564" s="296" t="s">
        <v>1645</v>
      </c>
      <c r="M2564" s="252" t="s">
        <v>215</v>
      </c>
      <c r="P2564" s="252">
        <v>22.61</v>
      </c>
      <c r="Q2564" s="296" t="s">
        <v>359</v>
      </c>
      <c r="W2564" s="253"/>
    </row>
    <row r="2565" spans="6:23" ht="20.25" customHeight="1">
      <c r="F2565" s="252" t="s">
        <v>1661</v>
      </c>
      <c r="I2565" s="252">
        <v>3.24</v>
      </c>
      <c r="J2565" s="296" t="s">
        <v>1645</v>
      </c>
      <c r="M2565" s="252" t="s">
        <v>511</v>
      </c>
      <c r="P2565" s="252">
        <v>3.24</v>
      </c>
      <c r="Q2565" s="296" t="s">
        <v>359</v>
      </c>
      <c r="W2565" s="253"/>
    </row>
    <row r="2566" spans="6:23" ht="20.25" customHeight="1">
      <c r="F2566" s="252" t="s">
        <v>433</v>
      </c>
      <c r="I2566" s="252">
        <v>3.6</v>
      </c>
      <c r="J2566" s="296" t="s">
        <v>1645</v>
      </c>
      <c r="M2566" s="252" t="s">
        <v>512</v>
      </c>
      <c r="P2566" s="252">
        <v>2.16</v>
      </c>
      <c r="Q2566" s="296" t="s">
        <v>359</v>
      </c>
      <c r="W2566" s="253"/>
    </row>
    <row r="2567" spans="6:23" ht="20.25" customHeight="1">
      <c r="F2567" s="252" t="s">
        <v>577</v>
      </c>
      <c r="I2567" s="252">
        <v>2.88</v>
      </c>
      <c r="Q2567" s="296"/>
      <c r="W2567" s="253"/>
    </row>
    <row r="2568" spans="6:23" ht="20.25" customHeight="1">
      <c r="I2568" s="377" t="s">
        <v>879</v>
      </c>
      <c r="P2568" s="377" t="s">
        <v>146</v>
      </c>
      <c r="Q2568" s="296"/>
      <c r="W2568" s="253"/>
    </row>
    <row r="2569" spans="6:23" ht="20.25" customHeight="1">
      <c r="I2569" s="274">
        <f>SUM(I2562:I2567)</f>
        <v>72.55</v>
      </c>
      <c r="J2569" s="296" t="s">
        <v>1645</v>
      </c>
      <c r="P2569" s="252">
        <f>SUM(P2563:P2567)</f>
        <v>42.81</v>
      </c>
      <c r="Q2569" s="296"/>
      <c r="W2569" s="253"/>
    </row>
    <row r="2570" spans="6:23" ht="20.25" customHeight="1">
      <c r="I2570" s="377" t="s">
        <v>879</v>
      </c>
      <c r="P2570" s="252" t="s">
        <v>1685</v>
      </c>
      <c r="Q2570" s="296"/>
      <c r="W2570" s="253"/>
    </row>
    <row r="2571" spans="6:23" ht="20.25" customHeight="1">
      <c r="Q2571" s="296"/>
      <c r="W2571" s="253"/>
    </row>
    <row r="2572" spans="6:23" ht="20.25" customHeight="1">
      <c r="F2572" s="252">
        <v>72.55</v>
      </c>
      <c r="G2572" s="252" t="s">
        <v>1645</v>
      </c>
      <c r="H2572" s="252" t="s">
        <v>578</v>
      </c>
      <c r="I2572" s="252">
        <f>I2537</f>
        <v>70.150000000000006</v>
      </c>
      <c r="J2572" s="296" t="s">
        <v>1645</v>
      </c>
      <c r="K2572" s="252">
        <f>F2572*I2572</f>
        <v>5089.38</v>
      </c>
      <c r="Q2572" s="296"/>
      <c r="W2572" s="253"/>
    </row>
    <row r="2573" spans="6:23" ht="20.25" customHeight="1">
      <c r="F2573" s="252">
        <v>1.01</v>
      </c>
      <c r="G2573" s="252" t="s">
        <v>2283</v>
      </c>
      <c r="H2573" s="252" t="s">
        <v>2122</v>
      </c>
      <c r="I2573" s="252">
        <f>I2538</f>
        <v>379.9</v>
      </c>
      <c r="J2573" s="296" t="s">
        <v>2283</v>
      </c>
      <c r="K2573" s="252">
        <f>F2573*I2573</f>
        <v>383.7</v>
      </c>
      <c r="M2573" s="252">
        <v>42.81</v>
      </c>
      <c r="N2573" s="252" t="s">
        <v>1645</v>
      </c>
      <c r="O2573" s="252" t="s">
        <v>4079</v>
      </c>
      <c r="P2573" s="252">
        <f>I2572</f>
        <v>70.150000000000006</v>
      </c>
      <c r="Q2573" s="296" t="s">
        <v>1645</v>
      </c>
      <c r="R2573" s="252">
        <f>P2573*M2573</f>
        <v>3003.12</v>
      </c>
      <c r="W2573" s="253"/>
    </row>
    <row r="2574" spans="6:23" ht="20.25"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0.25" customHeight="1">
      <c r="H2575" s="252" t="s">
        <v>123</v>
      </c>
      <c r="I2575" s="252">
        <v>266.49</v>
      </c>
      <c r="J2575" s="296" t="s">
        <v>449</v>
      </c>
      <c r="K2575" s="252">
        <f>I2575</f>
        <v>266.49</v>
      </c>
      <c r="M2575" s="252">
        <v>0.77</v>
      </c>
      <c r="N2575" s="252" t="s">
        <v>2283</v>
      </c>
      <c r="O2575" s="468" t="s">
        <v>4268</v>
      </c>
      <c r="P2575" s="252">
        <f>I2574</f>
        <v>116.55</v>
      </c>
      <c r="Q2575" s="296" t="s">
        <v>2283</v>
      </c>
      <c r="R2575" s="252">
        <f>P2575*M2575</f>
        <v>89.74</v>
      </c>
      <c r="W2575" s="253"/>
    </row>
    <row r="2576" spans="6:23" ht="20.25" customHeight="1">
      <c r="K2576" s="377" t="s">
        <v>146</v>
      </c>
      <c r="O2576" s="252" t="s">
        <v>515</v>
      </c>
      <c r="P2576" s="314">
        <f>46.62+0.48</f>
        <v>47.1</v>
      </c>
      <c r="Q2576" s="296" t="s">
        <v>449</v>
      </c>
      <c r="R2576" s="252">
        <f>P2576</f>
        <v>47.1</v>
      </c>
      <c r="W2576" s="253"/>
    </row>
    <row r="2577" spans="6:23" ht="20.25" customHeight="1">
      <c r="K2577" s="252">
        <f>SUM(K2572:K2575)</f>
        <v>5857.29</v>
      </c>
      <c r="Q2577" s="296"/>
      <c r="R2577" s="377" t="s">
        <v>146</v>
      </c>
      <c r="W2577" s="253"/>
    </row>
    <row r="2578" spans="6:23" ht="20.25" customHeight="1">
      <c r="H2578" s="252" t="s">
        <v>124</v>
      </c>
      <c r="I2578" s="252">
        <v>255</v>
      </c>
      <c r="J2578" s="296" t="s">
        <v>449</v>
      </c>
      <c r="K2578" s="252">
        <v>255</v>
      </c>
      <c r="O2578" s="274" t="s">
        <v>516</v>
      </c>
      <c r="Q2578" s="296"/>
      <c r="R2578" s="274">
        <f>SUM(R2573:R2576)</f>
        <v>3432.48</v>
      </c>
      <c r="W2578" s="253"/>
    </row>
    <row r="2579" spans="6:23" ht="20.25" customHeight="1">
      <c r="K2579" s="377" t="s">
        <v>146</v>
      </c>
      <c r="Q2579" s="296"/>
      <c r="R2579" s="377" t="s">
        <v>146</v>
      </c>
      <c r="W2579" s="253"/>
    </row>
    <row r="2580" spans="6:23" ht="20.25" customHeight="1">
      <c r="H2580" s="274" t="s">
        <v>125</v>
      </c>
      <c r="K2580" s="274">
        <f>SUM(K2577:K2578)</f>
        <v>6112.29</v>
      </c>
      <c r="O2580" s="252">
        <f>1.285*0.6</f>
        <v>0.77</v>
      </c>
      <c r="Q2580" s="296"/>
      <c r="R2580" s="252">
        <f>R2578/O2580</f>
        <v>4457.7700000000004</v>
      </c>
      <c r="W2580" s="253"/>
    </row>
    <row r="2581" spans="6:23" ht="20.25" customHeight="1">
      <c r="K2581" s="377" t="s">
        <v>146</v>
      </c>
      <c r="M2581" s="252">
        <f>I2574</f>
        <v>116.55</v>
      </c>
      <c r="O2581" s="296">
        <f>M2581*L2540</f>
        <v>89.74</v>
      </c>
      <c r="W2581" s="253"/>
    </row>
    <row r="2582" spans="6:23" ht="20.25" customHeight="1">
      <c r="O2582" s="296">
        <v>0.8</v>
      </c>
      <c r="W2582" s="253"/>
    </row>
    <row r="2583" spans="6:23" ht="20.25" customHeight="1">
      <c r="K2583" s="252">
        <f>5261-K2580</f>
        <v>-851.29</v>
      </c>
      <c r="O2583" s="296">
        <f>SUM(O2579:O2582)</f>
        <v>91.31</v>
      </c>
      <c r="W2583" s="253"/>
    </row>
    <row r="2584" spans="6:23" ht="20.25" customHeight="1">
      <c r="O2584" s="296">
        <f>O2583/0.77</f>
        <v>118.58</v>
      </c>
      <c r="W2584" s="253"/>
    </row>
    <row r="2585" spans="6:23" ht="20.25" customHeight="1">
      <c r="H2585" s="274" t="s">
        <v>11</v>
      </c>
      <c r="W2585" s="253"/>
    </row>
    <row r="2586" spans="6:23" ht="20.25" customHeight="1">
      <c r="W2586" s="253"/>
    </row>
    <row r="2587" spans="6:23" ht="20.25" customHeight="1">
      <c r="F2587" s="274" t="s">
        <v>438</v>
      </c>
      <c r="G2587" s="274"/>
      <c r="U2587" s="252" t="s">
        <v>3735</v>
      </c>
      <c r="W2587" s="253"/>
    </row>
    <row r="2588" spans="6:23" ht="20.25" customHeight="1">
      <c r="W2588" s="253"/>
    </row>
    <row r="2589" spans="6:23" ht="20.25" customHeight="1">
      <c r="F2589" s="252" t="s">
        <v>815</v>
      </c>
      <c r="I2589" s="356">
        <v>2.944</v>
      </c>
      <c r="J2589" s="296" t="s">
        <v>1645</v>
      </c>
      <c r="S2589" s="356" t="s">
        <v>2482</v>
      </c>
      <c r="V2589" s="537">
        <f>2*0.85*2.025</f>
        <v>3.4424999999999999</v>
      </c>
      <c r="W2589" s="253"/>
    </row>
    <row r="2590" spans="6:23" ht="20.25" customHeight="1">
      <c r="F2590" s="252" t="s">
        <v>1263</v>
      </c>
      <c r="I2590" s="356">
        <v>2.355</v>
      </c>
      <c r="J2590" s="296" t="s">
        <v>1645</v>
      </c>
      <c r="S2590" s="356" t="s">
        <v>1932</v>
      </c>
      <c r="V2590" s="537">
        <v>2.2800000000000001E-2</v>
      </c>
      <c r="W2590" s="253"/>
    </row>
    <row r="2591" spans="6:23" ht="20.25" customHeight="1">
      <c r="F2591" s="252" t="s">
        <v>1236</v>
      </c>
      <c r="I2591" s="356">
        <v>0.88300000000000001</v>
      </c>
      <c r="J2591" s="296" t="s">
        <v>1645</v>
      </c>
      <c r="S2591" s="356" t="s">
        <v>2483</v>
      </c>
      <c r="V2591" s="316">
        <f>2*3*0.85*0.15*0.0375</f>
        <v>2.87E-2</v>
      </c>
      <c r="W2591" s="253"/>
    </row>
    <row r="2592" spans="6:23" ht="20.25" customHeight="1">
      <c r="T2592" s="252" t="s">
        <v>2484</v>
      </c>
      <c r="V2592" s="316">
        <f>2*3*0.85*0.075*0.0375</f>
        <v>1.43E-2</v>
      </c>
      <c r="W2592" s="253"/>
    </row>
    <row r="2593" spans="6:33" ht="20.25" customHeight="1">
      <c r="V2593" s="538">
        <f>SUM(V2591:V2592)</f>
        <v>4.2999999999999997E-2</v>
      </c>
      <c r="W2593" s="253"/>
    </row>
    <row r="2594" spans="6:33" ht="20.25" customHeight="1">
      <c r="H2594" s="274" t="s">
        <v>11</v>
      </c>
      <c r="W2594" s="253"/>
    </row>
    <row r="2595" spans="6:33" ht="20.25" customHeight="1">
      <c r="W2595" s="253"/>
    </row>
    <row r="2596" spans="6:33" ht="20.25" customHeight="1">
      <c r="S2596" s="356" t="s">
        <v>2485</v>
      </c>
      <c r="V2596" s="316">
        <f>2*4*0.725*0.3*0.01875</f>
        <v>3.2599999999999997E-2</v>
      </c>
      <c r="W2596" s="253"/>
    </row>
    <row r="2597" spans="6:33" ht="20.25" customHeight="1">
      <c r="F2597" s="252" t="s">
        <v>1222</v>
      </c>
      <c r="I2597" s="252">
        <v>16.38</v>
      </c>
      <c r="J2597" s="296" t="s">
        <v>1645</v>
      </c>
      <c r="S2597" s="356" t="s">
        <v>2486</v>
      </c>
      <c r="V2597" s="316">
        <f>2*0.725*0.3*0.01875</f>
        <v>8.2000000000000007E-3</v>
      </c>
      <c r="W2597" s="253"/>
    </row>
    <row r="2598" spans="6:33" ht="20.25" customHeight="1">
      <c r="F2598" s="252" t="s">
        <v>1229</v>
      </c>
      <c r="I2598" s="252">
        <v>8.7799999999999994</v>
      </c>
      <c r="J2598" s="296" t="s">
        <v>1645</v>
      </c>
      <c r="V2598" s="538">
        <f>SUM(V2596:V2597)</f>
        <v>4.0800000000000003E-2</v>
      </c>
      <c r="W2598" s="253"/>
    </row>
    <row r="2599" spans="6:33" ht="20.25" customHeight="1">
      <c r="F2599" s="252" t="s">
        <v>1605</v>
      </c>
      <c r="I2599" s="252">
        <v>37.67</v>
      </c>
      <c r="J2599" s="296" t="s">
        <v>1645</v>
      </c>
      <c r="U2599" s="274" t="s">
        <v>1622</v>
      </c>
      <c r="W2599" s="253"/>
      <c r="Y2599" s="316">
        <v>2.3099999999999999E-2</v>
      </c>
      <c r="Z2599" s="252">
        <f>Y2599*V2601</f>
        <v>2577.96</v>
      </c>
    </row>
    <row r="2600" spans="6:33" ht="20.25" customHeight="1">
      <c r="F2600" s="252" t="s">
        <v>1661</v>
      </c>
      <c r="I2600" s="252">
        <v>3.24</v>
      </c>
      <c r="J2600" s="296" t="s">
        <v>1645</v>
      </c>
      <c r="W2600" s="253"/>
      <c r="Y2600" s="316">
        <v>4.48E-2</v>
      </c>
      <c r="Z2600" s="252">
        <f>Y2600*V2602</f>
        <v>4453.12</v>
      </c>
    </row>
    <row r="2601" spans="6:33" ht="20.2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162" t="s">
        <v>6135</v>
      </c>
      <c r="AE2601" s="1162"/>
      <c r="AF2601" s="1162"/>
      <c r="AG2601" s="1162"/>
    </row>
    <row r="2602" spans="6:33" ht="20.25"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0.25"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37">
        <f>2*0.95*2.025</f>
        <v>3.8475000000000001</v>
      </c>
      <c r="AF2603" s="296"/>
    </row>
    <row r="2604" spans="6:33" ht="20.25"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37">
        <v>2.2800000000000001E-2</v>
      </c>
      <c r="AF2604" s="296"/>
    </row>
    <row r="2605" spans="6:33" ht="20.25"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0.25"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0.25"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38">
        <f>SUM(AE2605:AE2606)</f>
        <v>4.8099999999999997E-2</v>
      </c>
      <c r="AF2607" s="296"/>
    </row>
    <row r="2608" spans="6:33" ht="20.25"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0.25"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0.25"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0.25" customHeight="1">
      <c r="K2611" s="377" t="s">
        <v>146</v>
      </c>
      <c r="W2611" s="253"/>
      <c r="Z2611" s="252">
        <f>Z2610/3.485</f>
        <v>5034.6099999999997</v>
      </c>
      <c r="AB2611" s="252" t="s">
        <v>2087</v>
      </c>
      <c r="AE2611" s="316">
        <f>2*0.825*0.3*0.01875</f>
        <v>9.2999999999999992E-3</v>
      </c>
      <c r="AF2611" s="296"/>
    </row>
    <row r="2612" spans="6:33" ht="20.25" customHeight="1">
      <c r="K2612" s="252">
        <f>SUM(K2607:K2610)</f>
        <v>5812.52</v>
      </c>
      <c r="S2612" s="356">
        <v>10</v>
      </c>
      <c r="U2612" s="252" t="s">
        <v>1141</v>
      </c>
      <c r="V2612" s="252">
        <f>I2643</f>
        <v>2.41</v>
      </c>
      <c r="W2612" s="253"/>
      <c r="X2612" s="252">
        <f t="shared" si="255"/>
        <v>24.1</v>
      </c>
      <c r="AE2612" s="538">
        <f>SUM(AE2610:AE2611)</f>
        <v>4.6399999999999997E-2</v>
      </c>
      <c r="AF2612" s="296"/>
    </row>
    <row r="2613" spans="6:33" ht="20.25" customHeight="1">
      <c r="H2613" s="252" t="s">
        <v>124</v>
      </c>
      <c r="I2613" s="432">
        <v>255</v>
      </c>
      <c r="J2613" s="296" t="s">
        <v>449</v>
      </c>
      <c r="K2613" s="252">
        <v>255</v>
      </c>
      <c r="T2613" s="274"/>
      <c r="U2613" s="274" t="s">
        <v>552</v>
      </c>
      <c r="W2613" s="253"/>
      <c r="X2613" s="274">
        <f>SUM(X2601:X2612)</f>
        <v>20875.2</v>
      </c>
      <c r="AD2613" s="274" t="s">
        <v>1622</v>
      </c>
      <c r="AF2613" s="296"/>
    </row>
    <row r="2614" spans="6:33" ht="20.25" customHeight="1">
      <c r="K2614" s="377" t="s">
        <v>146</v>
      </c>
      <c r="T2614" s="274"/>
      <c r="U2614" s="274"/>
      <c r="W2614" s="253"/>
      <c r="X2614" s="377" t="s">
        <v>146</v>
      </c>
      <c r="AF2614" s="296"/>
    </row>
    <row r="2615" spans="6:33" ht="20.25"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0.25"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0.25" customHeight="1">
      <c r="W2617" s="253"/>
      <c r="AB2617" s="400">
        <f>AE2612</f>
        <v>4.6399999999999997E-2</v>
      </c>
      <c r="AC2617" s="252" t="s">
        <v>869</v>
      </c>
      <c r="AD2617" s="252" t="s">
        <v>937</v>
      </c>
      <c r="AE2617" s="252">
        <f t="shared" si="256"/>
        <v>107000</v>
      </c>
      <c r="AF2617" s="296" t="s">
        <v>869</v>
      </c>
      <c r="AG2617" s="252">
        <f t="shared" si="257"/>
        <v>4964.8</v>
      </c>
    </row>
    <row r="2618" spans="6:33" ht="20.25" customHeight="1">
      <c r="W2618" s="253"/>
      <c r="AB2618" s="316">
        <f>AE2603</f>
        <v>3.8475000000000001</v>
      </c>
      <c r="AC2618" s="252" t="s">
        <v>609</v>
      </c>
      <c r="AD2618" s="252" t="s">
        <v>883</v>
      </c>
      <c r="AE2618" s="252">
        <f t="shared" si="256"/>
        <v>1537</v>
      </c>
      <c r="AF2618" s="296" t="s">
        <v>609</v>
      </c>
      <c r="AG2618" s="252">
        <f t="shared" si="257"/>
        <v>5913.61</v>
      </c>
    </row>
    <row r="2619" spans="6:33" ht="20.25" customHeight="1">
      <c r="H2619" s="274" t="s">
        <v>3951</v>
      </c>
      <c r="I2619" s="274"/>
      <c r="W2619" s="253"/>
      <c r="AB2619" s="252">
        <v>2</v>
      </c>
      <c r="AC2619" s="252" t="s">
        <v>1873</v>
      </c>
      <c r="AD2619" s="252" t="s">
        <v>2123</v>
      </c>
      <c r="AE2619" s="252">
        <f t="shared" si="256"/>
        <v>254.5</v>
      </c>
      <c r="AF2619" s="296" t="s">
        <v>1398</v>
      </c>
      <c r="AG2619" s="252">
        <f t="shared" si="257"/>
        <v>509</v>
      </c>
    </row>
    <row r="2620" spans="6:33" ht="20.25" customHeight="1">
      <c r="W2620" s="253"/>
      <c r="AB2620" s="252">
        <v>6</v>
      </c>
      <c r="AC2620" s="252" t="s">
        <v>1873</v>
      </c>
      <c r="AD2620" s="252" t="s">
        <v>1098</v>
      </c>
      <c r="AE2620" s="252">
        <f t="shared" si="256"/>
        <v>214.1</v>
      </c>
      <c r="AF2620" s="296" t="s">
        <v>1398</v>
      </c>
      <c r="AG2620" s="252">
        <f t="shared" si="257"/>
        <v>1284.5999999999999</v>
      </c>
    </row>
    <row r="2621" spans="6:33" ht="20.25" customHeight="1">
      <c r="F2621" s="252" t="s">
        <v>458</v>
      </c>
      <c r="W2621" s="253"/>
      <c r="AB2621" s="252">
        <v>4</v>
      </c>
      <c r="AC2621" s="252" t="s">
        <v>1873</v>
      </c>
      <c r="AD2621" s="252" t="s">
        <v>1348</v>
      </c>
      <c r="AE2621" s="252">
        <f t="shared" si="256"/>
        <v>408</v>
      </c>
      <c r="AF2621" s="296" t="s">
        <v>1398</v>
      </c>
      <c r="AG2621" s="252">
        <f t="shared" si="257"/>
        <v>1632</v>
      </c>
    </row>
    <row r="2622" spans="6:33" ht="20.25" customHeight="1">
      <c r="F2622" s="252" t="s">
        <v>1932</v>
      </c>
      <c r="I2622" s="537">
        <v>2.2800000000000001E-2</v>
      </c>
      <c r="W2622" s="253"/>
      <c r="AB2622" s="252">
        <v>1</v>
      </c>
      <c r="AC2622" s="252" t="s">
        <v>1873</v>
      </c>
      <c r="AD2622" s="252" t="s">
        <v>1349</v>
      </c>
      <c r="AE2622" s="252">
        <f t="shared" si="256"/>
        <v>836</v>
      </c>
      <c r="AF2622" s="296" t="s">
        <v>1398</v>
      </c>
      <c r="AG2622" s="252">
        <f t="shared" si="257"/>
        <v>836</v>
      </c>
    </row>
    <row r="2623" spans="6:33" ht="20.25"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0.25"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0.25" customHeight="1">
      <c r="I2625" s="538">
        <f>SUM(I2623:I2624)</f>
        <v>3.5400000000000001E-2</v>
      </c>
      <c r="W2625" s="253"/>
      <c r="AF2625" s="296"/>
    </row>
    <row r="2626" spans="6:33" ht="20.25" customHeight="1">
      <c r="O2626" s="274" t="s">
        <v>3952</v>
      </c>
      <c r="Q2626" s="296"/>
      <c r="W2626" s="253"/>
      <c r="AF2626" s="296"/>
      <c r="AG2626" s="377">
        <v>10.54</v>
      </c>
    </row>
    <row r="2627" spans="6:33" ht="20.25" customHeight="1">
      <c r="Q2627" s="296"/>
      <c r="W2627" s="253"/>
      <c r="AC2627" s="274"/>
      <c r="AD2627" s="274" t="s">
        <v>552</v>
      </c>
      <c r="AF2627" s="296"/>
      <c r="AG2627" s="274">
        <f>SUM(AG2615:AG2626)</f>
        <v>22590.27</v>
      </c>
    </row>
    <row r="2628" spans="6:33" ht="20.25" customHeight="1">
      <c r="F2628" s="252" t="s">
        <v>2076</v>
      </c>
      <c r="I2628" s="316">
        <v>2.5899999999999999E-2</v>
      </c>
      <c r="M2628" s="252" t="s">
        <v>1870</v>
      </c>
      <c r="Q2628" s="296"/>
      <c r="W2628" s="253"/>
      <c r="AC2628" s="274"/>
      <c r="AD2628" s="274"/>
      <c r="AF2628" s="296"/>
      <c r="AG2628" s="377" t="s">
        <v>146</v>
      </c>
    </row>
    <row r="2629" spans="6:33" ht="20.25" customHeight="1">
      <c r="F2629" s="252" t="s">
        <v>421</v>
      </c>
      <c r="I2629" s="316">
        <f>2*0.575*0.3*0.01875</f>
        <v>6.4999999999999997E-3</v>
      </c>
      <c r="K2629" s="252">
        <f>3643035-3769622.98</f>
        <v>-126587.98</v>
      </c>
      <c r="M2629" s="252" t="s">
        <v>1932</v>
      </c>
      <c r="P2629" s="537">
        <v>2.2800000000000001E-2</v>
      </c>
      <c r="Q2629" s="296"/>
      <c r="W2629" s="253"/>
      <c r="AC2629" s="274"/>
      <c r="AD2629" s="274" t="s">
        <v>2088</v>
      </c>
      <c r="AF2629" s="296"/>
      <c r="AG2629" s="274">
        <f>AG2627/3.8475</f>
        <v>5871.42</v>
      </c>
    </row>
    <row r="2630" spans="6:33" ht="20.25" customHeight="1">
      <c r="I2630" s="538">
        <f>SUM(I2628:I2629)</f>
        <v>3.2399999999999998E-2</v>
      </c>
      <c r="M2630" s="252" t="s">
        <v>1871</v>
      </c>
      <c r="P2630" s="316">
        <v>1.8599999999999998E-2</v>
      </c>
      <c r="Q2630" s="296"/>
      <c r="W2630" s="253"/>
    </row>
    <row r="2631" spans="6:33" ht="20.25" customHeight="1">
      <c r="H2631" s="274" t="s">
        <v>1622</v>
      </c>
      <c r="N2631" s="252" t="s">
        <v>405</v>
      </c>
      <c r="P2631" s="316">
        <v>9.2999999999999992E-3</v>
      </c>
      <c r="Q2631" s="296"/>
      <c r="W2631" s="253"/>
    </row>
    <row r="2632" spans="6:33" ht="20.25" customHeight="1">
      <c r="P2632" s="538">
        <f>SUM(P2630:P2631)</f>
        <v>2.7900000000000001E-2</v>
      </c>
      <c r="Q2632" s="296"/>
      <c r="W2632" s="253"/>
    </row>
    <row r="2633" spans="6:33" ht="20.25" customHeight="1">
      <c r="F2633" s="316">
        <v>2.2800000000000001E-2</v>
      </c>
      <c r="G2633" s="252" t="s">
        <v>869</v>
      </c>
      <c r="H2633" s="252" t="s">
        <v>3124</v>
      </c>
      <c r="I2633" s="252">
        <f>AC26</f>
        <v>111600</v>
      </c>
      <c r="J2633" s="296" t="s">
        <v>869</v>
      </c>
      <c r="K2633" s="252">
        <f>F2633*I2633</f>
        <v>2544.48</v>
      </c>
      <c r="Q2633" s="296"/>
      <c r="W2633" s="253"/>
    </row>
    <row r="2634" spans="6:33" ht="20.25"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0.25" customHeight="1">
      <c r="F2635" s="400">
        <v>3.2300000000000002E-2</v>
      </c>
      <c r="G2635" s="252" t="s">
        <v>869</v>
      </c>
      <c r="H2635" s="252" t="s">
        <v>5336</v>
      </c>
      <c r="I2635" s="362">
        <v>107000</v>
      </c>
      <c r="J2635" s="296" t="s">
        <v>869</v>
      </c>
      <c r="K2635" s="252">
        <f t="shared" si="258"/>
        <v>3456.1</v>
      </c>
      <c r="M2635" s="252" t="s">
        <v>404</v>
      </c>
      <c r="P2635" s="316">
        <v>1.9E-2</v>
      </c>
      <c r="Q2635" s="296"/>
      <c r="W2635" s="253"/>
      <c r="AB2635" s="356"/>
      <c r="AD2635" s="274" t="s">
        <v>3735</v>
      </c>
      <c r="AF2635" s="296"/>
    </row>
    <row r="2636" spans="6:33" ht="20.25"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0.25" customHeight="1">
      <c r="F2637" s="252">
        <v>2</v>
      </c>
      <c r="G2637" s="252" t="s">
        <v>1873</v>
      </c>
      <c r="H2637" s="252" t="s">
        <v>3736</v>
      </c>
      <c r="I2637" s="252">
        <f>I2818</f>
        <v>254.5</v>
      </c>
      <c r="J2637" s="296" t="s">
        <v>1398</v>
      </c>
      <c r="K2637" s="252">
        <f t="shared" si="258"/>
        <v>509</v>
      </c>
      <c r="P2637" s="538">
        <f>SUM(P2635:P2636)</f>
        <v>2.3800000000000002E-2</v>
      </c>
      <c r="Q2637" s="296"/>
      <c r="W2637" s="253"/>
      <c r="AB2637" s="356" t="s">
        <v>2482</v>
      </c>
      <c r="AE2637" s="537">
        <f>2*0.85*2.025</f>
        <v>3.4424999999999999</v>
      </c>
      <c r="AF2637" s="296"/>
    </row>
    <row r="2638" spans="6:33" ht="20.25"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37">
        <v>2.2800000000000001E-2</v>
      </c>
      <c r="AF2638" s="296"/>
    </row>
    <row r="2639" spans="6:33" ht="20.25"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0.25"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0.25" customHeight="1">
      <c r="F2641" s="252">
        <v>2</v>
      </c>
      <c r="G2641" s="252" t="s">
        <v>1873</v>
      </c>
      <c r="H2641" s="252" t="s">
        <v>5675</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38">
        <f>SUM(AE2639:AE2640)</f>
        <v>4.2999999999999997E-2</v>
      </c>
      <c r="AF2641" s="296"/>
    </row>
    <row r="2642" spans="6:34" ht="20.25" customHeight="1">
      <c r="F2642" s="252">
        <v>2</v>
      </c>
      <c r="G2642" s="252" t="s">
        <v>1873</v>
      </c>
      <c r="H2642" s="252" t="s">
        <v>5337</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0.25"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0.25"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0.25"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0.25"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38">
        <f>SUM(AE2644:AE2645)</f>
        <v>4.0800000000000003E-2</v>
      </c>
      <c r="AF2646" s="296"/>
    </row>
    <row r="2647" spans="6:34" ht="20.25"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0.25"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0.25" customHeight="1">
      <c r="F2649" s="539" t="s">
        <v>880</v>
      </c>
      <c r="G2649" s="540"/>
      <c r="H2649" s="367" t="s">
        <v>1999</v>
      </c>
      <c r="I2649" s="540"/>
      <c r="J2649" s="367"/>
      <c r="K2649" s="54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0.25" customHeight="1">
      <c r="F2650" s="540"/>
      <c r="G2650" s="540"/>
      <c r="H2650" s="541" t="s">
        <v>1586</v>
      </c>
      <c r="I2650" s="541" t="s">
        <v>1586</v>
      </c>
      <c r="J2650" s="367" t="s">
        <v>1586</v>
      </c>
      <c r="K2650" s="54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20.25" customHeight="1">
      <c r="F2651" s="540"/>
      <c r="G2651" s="540"/>
      <c r="H2651" s="540"/>
      <c r="I2651" s="540"/>
      <c r="J2651" s="367"/>
      <c r="K2651" s="54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20.25" customHeight="1">
      <c r="F2652" s="540"/>
      <c r="G2652" s="540"/>
      <c r="H2652" s="367" t="s">
        <v>2000</v>
      </c>
      <c r="I2652" s="540"/>
      <c r="J2652" s="367"/>
      <c r="K2652" s="54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0.25" customHeight="1">
      <c r="F2653" s="540"/>
      <c r="G2653" s="540"/>
      <c r="H2653" s="367"/>
      <c r="I2653" s="540"/>
      <c r="J2653" s="367"/>
      <c r="K2653" s="540"/>
      <c r="N2653" s="274"/>
      <c r="O2653" s="274"/>
      <c r="Q2653" s="296"/>
      <c r="R2653" s="377" t="s">
        <v>146</v>
      </c>
      <c r="W2653" s="253"/>
      <c r="AA2653" s="356"/>
      <c r="AB2653" s="356">
        <v>2</v>
      </c>
      <c r="AC2653" s="252" t="s">
        <v>1873</v>
      </c>
      <c r="AD2653" s="252" t="s">
        <v>3736</v>
      </c>
      <c r="AE2653" s="542">
        <v>450</v>
      </c>
      <c r="AF2653" s="296" t="s">
        <v>1398</v>
      </c>
      <c r="AG2653" s="252">
        <f t="shared" si="263"/>
        <v>900</v>
      </c>
      <c r="AH2653" s="316"/>
    </row>
    <row r="2654" spans="6:34" ht="20.25" customHeight="1">
      <c r="F2654" s="540"/>
      <c r="G2654" s="540"/>
      <c r="H2654" s="367" t="s">
        <v>2001</v>
      </c>
      <c r="I2654" s="540"/>
      <c r="J2654" s="367"/>
      <c r="K2654" s="540"/>
      <c r="N2654" s="274"/>
      <c r="O2654" s="274" t="s">
        <v>642</v>
      </c>
      <c r="Q2654" s="296"/>
      <c r="R2654" s="274">
        <f>R2652/M2643</f>
        <v>7153.15</v>
      </c>
      <c r="W2654" s="253"/>
      <c r="AA2654" s="356"/>
      <c r="AB2654" s="356">
        <v>6</v>
      </c>
      <c r="AC2654" s="252" t="s">
        <v>1873</v>
      </c>
      <c r="AD2654" s="252" t="s">
        <v>3737</v>
      </c>
      <c r="AE2654" s="542">
        <v>79</v>
      </c>
      <c r="AF2654" s="296" t="s">
        <v>1398</v>
      </c>
      <c r="AG2654" s="252">
        <f t="shared" si="263"/>
        <v>474</v>
      </c>
      <c r="AH2654" s="316"/>
    </row>
    <row r="2655" spans="6:34" ht="20.25" customHeight="1">
      <c r="F2655" s="540"/>
      <c r="G2655" s="540"/>
      <c r="H2655" s="367" t="s">
        <v>454</v>
      </c>
      <c r="I2655" s="540"/>
      <c r="J2655" s="367"/>
      <c r="K2655" s="540"/>
      <c r="N2655" s="274"/>
      <c r="Q2655" s="296"/>
      <c r="R2655" s="377" t="s">
        <v>146</v>
      </c>
      <c r="W2655" s="253"/>
      <c r="AA2655" s="316"/>
      <c r="AB2655" s="356">
        <v>4</v>
      </c>
      <c r="AC2655" s="252" t="s">
        <v>1873</v>
      </c>
      <c r="AD2655" s="252" t="s">
        <v>3738</v>
      </c>
      <c r="AE2655" s="542">
        <v>130</v>
      </c>
      <c r="AF2655" s="296" t="s">
        <v>1398</v>
      </c>
      <c r="AG2655" s="252">
        <f t="shared" si="263"/>
        <v>520</v>
      </c>
      <c r="AH2655" s="316"/>
    </row>
    <row r="2656" spans="6:34" ht="20.25" customHeight="1">
      <c r="F2656" s="540"/>
      <c r="G2656" s="540"/>
      <c r="H2656" s="367" t="s">
        <v>455</v>
      </c>
      <c r="I2656" s="540"/>
      <c r="J2656" s="367"/>
      <c r="K2656" s="540"/>
      <c r="M2656" s="252" t="s">
        <v>880</v>
      </c>
      <c r="O2656" s="252" t="s">
        <v>1999</v>
      </c>
      <c r="W2656" s="253"/>
      <c r="AA2656" s="316"/>
      <c r="AB2656" s="356">
        <v>1</v>
      </c>
      <c r="AC2656" s="252" t="s">
        <v>1873</v>
      </c>
      <c r="AD2656" s="252" t="s">
        <v>3739</v>
      </c>
      <c r="AE2656" s="542">
        <v>985</v>
      </c>
      <c r="AF2656" s="296" t="s">
        <v>1398</v>
      </c>
      <c r="AG2656" s="252">
        <f t="shared" si="263"/>
        <v>985</v>
      </c>
      <c r="AH2656" s="316"/>
    </row>
    <row r="2657" spans="6:34" ht="20.25" customHeight="1">
      <c r="F2657" s="540"/>
      <c r="G2657" s="540"/>
      <c r="H2657" s="367" t="s">
        <v>456</v>
      </c>
      <c r="I2657" s="540"/>
      <c r="J2657" s="367"/>
      <c r="K2657" s="54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0.25" customHeight="1">
      <c r="F2658" s="540"/>
      <c r="G2658" s="540"/>
      <c r="H2658" s="367" t="s">
        <v>881</v>
      </c>
      <c r="I2658" s="540"/>
      <c r="J2658" s="367" t="s">
        <v>975</v>
      </c>
      <c r="K2658" s="543">
        <v>3.7699999999999997E-2</v>
      </c>
      <c r="W2658" s="253"/>
      <c r="AA2658" s="316"/>
      <c r="AB2658" s="356">
        <v>2</v>
      </c>
      <c r="AC2658" s="252" t="s">
        <v>1873</v>
      </c>
      <c r="AD2658" s="252" t="s">
        <v>1982</v>
      </c>
      <c r="AE2658" s="252">
        <f t="shared" si="262"/>
        <v>49.55</v>
      </c>
      <c r="AF2658" s="296" t="s">
        <v>1398</v>
      </c>
      <c r="AG2658" s="252">
        <f t="shared" si="263"/>
        <v>99.1</v>
      </c>
    </row>
    <row r="2659" spans="6:34" ht="20.25" customHeight="1">
      <c r="F2659" s="540"/>
      <c r="G2659" s="540"/>
      <c r="H2659" s="367" t="s">
        <v>695</v>
      </c>
      <c r="I2659" s="540"/>
      <c r="J2659" s="544" t="s">
        <v>975</v>
      </c>
      <c r="K2659" s="544" t="s">
        <v>975</v>
      </c>
      <c r="O2659" s="252" t="s">
        <v>2000</v>
      </c>
      <c r="W2659" s="253"/>
      <c r="AA2659" s="356"/>
      <c r="AB2659" s="356"/>
      <c r="AE2659" s="252">
        <f t="shared" si="262"/>
        <v>0</v>
      </c>
      <c r="AF2659" s="296"/>
      <c r="AG2659" s="252">
        <f t="shared" si="263"/>
        <v>0</v>
      </c>
    </row>
    <row r="2660" spans="6:34" ht="20.25" customHeight="1">
      <c r="F2660" s="540"/>
      <c r="G2660" s="540"/>
      <c r="H2660" s="367" t="s">
        <v>1830</v>
      </c>
      <c r="I2660" s="540"/>
      <c r="J2660" s="367"/>
      <c r="K2660" s="544" t="s">
        <v>975</v>
      </c>
      <c r="W2660" s="253"/>
      <c r="AA2660" s="356"/>
      <c r="AB2660" s="356">
        <v>118</v>
      </c>
      <c r="AD2660" s="252" t="s">
        <v>1141</v>
      </c>
      <c r="AE2660" s="252">
        <f t="shared" si="262"/>
        <v>2.41</v>
      </c>
      <c r="AF2660" s="296"/>
      <c r="AG2660" s="252">
        <f t="shared" si="263"/>
        <v>284.38</v>
      </c>
    </row>
    <row r="2661" spans="6:34" ht="20.25" customHeight="1">
      <c r="F2661" s="540"/>
      <c r="G2661" s="540"/>
      <c r="H2661" s="540"/>
      <c r="I2661" s="540"/>
      <c r="J2661" s="367"/>
      <c r="K2661" s="540"/>
      <c r="O2661" s="252" t="s">
        <v>2001</v>
      </c>
      <c r="W2661" s="253"/>
      <c r="AA2661" s="356"/>
      <c r="AB2661" s="356"/>
      <c r="AC2661" s="274"/>
      <c r="AD2661" s="274" t="s">
        <v>552</v>
      </c>
      <c r="AF2661" s="296"/>
      <c r="AG2661" s="274">
        <f>SUM(AG2649:AG2660)</f>
        <v>19787.080000000002</v>
      </c>
    </row>
    <row r="2662" spans="6:34" ht="20.25" customHeight="1">
      <c r="F2662" s="545">
        <v>1.18E-2</v>
      </c>
      <c r="G2662" s="540" t="s">
        <v>869</v>
      </c>
      <c r="H2662" s="367" t="s">
        <v>692</v>
      </c>
      <c r="I2662" s="540">
        <f>AC26</f>
        <v>111600</v>
      </c>
      <c r="J2662" s="367" t="s">
        <v>869</v>
      </c>
      <c r="K2662" s="540">
        <f t="shared" ref="K2662:K2671" si="264">(F2662*I2662)</f>
        <v>1316.88</v>
      </c>
      <c r="O2662" s="252" t="s">
        <v>454</v>
      </c>
      <c r="W2662" s="253"/>
      <c r="AA2662" s="356"/>
      <c r="AB2662" s="356"/>
      <c r="AC2662" s="274"/>
      <c r="AD2662" s="274"/>
      <c r="AF2662" s="296"/>
      <c r="AG2662" s="377" t="s">
        <v>146</v>
      </c>
    </row>
    <row r="2663" spans="6:34" ht="20.25" customHeight="1">
      <c r="F2663" s="545">
        <v>3.7699999999999997E-2</v>
      </c>
      <c r="G2663" s="540" t="s">
        <v>869</v>
      </c>
      <c r="H2663" s="367" t="s">
        <v>693</v>
      </c>
      <c r="I2663" s="540">
        <f>AC27</f>
        <v>99400</v>
      </c>
      <c r="J2663" s="367" t="s">
        <v>869</v>
      </c>
      <c r="K2663" s="540">
        <f t="shared" si="264"/>
        <v>3747.38</v>
      </c>
      <c r="O2663" s="252" t="s">
        <v>455</v>
      </c>
      <c r="W2663" s="253"/>
      <c r="AA2663" s="356"/>
      <c r="AB2663" s="356"/>
      <c r="AC2663" s="274"/>
      <c r="AD2663" s="274" t="s">
        <v>2489</v>
      </c>
      <c r="AF2663" s="296"/>
      <c r="AG2663" s="274">
        <f>AG2661/3.4425</f>
        <v>5747.88</v>
      </c>
    </row>
    <row r="2664" spans="6:34" ht="20.25" customHeight="1">
      <c r="F2664" s="545">
        <v>1.8550000000000001E-2</v>
      </c>
      <c r="G2664" s="540" t="s">
        <v>869</v>
      </c>
      <c r="H2664" s="367" t="s">
        <v>886</v>
      </c>
      <c r="I2664" s="540">
        <f>AE33</f>
        <v>13690</v>
      </c>
      <c r="J2664" s="367" t="s">
        <v>869</v>
      </c>
      <c r="K2664" s="540">
        <f t="shared" si="264"/>
        <v>253.95</v>
      </c>
      <c r="O2664" s="252" t="s">
        <v>456</v>
      </c>
      <c r="W2664" s="253"/>
      <c r="AA2664" s="356"/>
      <c r="AE2664" s="296"/>
    </row>
    <row r="2665" spans="6:34" ht="20.25" customHeight="1">
      <c r="F2665" s="545">
        <v>1.36</v>
      </c>
      <c r="G2665" s="540" t="s">
        <v>609</v>
      </c>
      <c r="H2665" s="367" t="s">
        <v>887</v>
      </c>
      <c r="I2665" s="546">
        <v>269.10000000000002</v>
      </c>
      <c r="J2665" s="367" t="s">
        <v>609</v>
      </c>
      <c r="K2665" s="540">
        <f t="shared" si="264"/>
        <v>365.98</v>
      </c>
      <c r="O2665" s="252" t="s">
        <v>881</v>
      </c>
      <c r="Q2665" s="252" t="s">
        <v>975</v>
      </c>
      <c r="R2665" s="252">
        <v>0.04</v>
      </c>
      <c r="W2665" s="253"/>
      <c r="AA2665" s="356"/>
      <c r="AE2665" s="296"/>
    </row>
    <row r="2666" spans="6:34" ht="20.25" customHeight="1">
      <c r="F2666" s="545">
        <v>2.0499999999999998</v>
      </c>
      <c r="G2666" s="540" t="s">
        <v>609</v>
      </c>
      <c r="H2666" s="367" t="s">
        <v>1506</v>
      </c>
      <c r="I2666" s="540">
        <f>D30</f>
        <v>1281</v>
      </c>
      <c r="J2666" s="367" t="s">
        <v>609</v>
      </c>
      <c r="K2666" s="540">
        <f t="shared" si="264"/>
        <v>2626.05</v>
      </c>
      <c r="O2666" s="252" t="s">
        <v>695</v>
      </c>
      <c r="Q2666" s="252" t="s">
        <v>975</v>
      </c>
      <c r="R2666" s="252" t="s">
        <v>975</v>
      </c>
      <c r="W2666" s="253"/>
      <c r="AA2666" s="356"/>
      <c r="AE2666" s="296"/>
    </row>
    <row r="2667" spans="6:34" ht="20.25" customHeight="1">
      <c r="F2667" s="540">
        <v>2</v>
      </c>
      <c r="G2667" s="540" t="s">
        <v>868</v>
      </c>
      <c r="H2667" s="367" t="s">
        <v>1389</v>
      </c>
      <c r="I2667" s="540">
        <f>E285</f>
        <v>57</v>
      </c>
      <c r="J2667" s="367" t="s">
        <v>868</v>
      </c>
      <c r="K2667" s="540">
        <f t="shared" si="264"/>
        <v>114</v>
      </c>
      <c r="O2667" s="252" t="s">
        <v>1830</v>
      </c>
      <c r="R2667" s="252" t="s">
        <v>975</v>
      </c>
      <c r="W2667" s="253"/>
      <c r="AA2667" s="356"/>
      <c r="AB2667" s="274"/>
      <c r="AC2667" s="274"/>
      <c r="AE2667" s="296"/>
      <c r="AF2667" s="274"/>
    </row>
    <row r="2668" spans="6:34" ht="20.25" customHeight="1">
      <c r="F2668" s="540">
        <v>6</v>
      </c>
      <c r="G2668" s="540" t="s">
        <v>868</v>
      </c>
      <c r="H2668" s="367" t="s">
        <v>1343</v>
      </c>
      <c r="I2668" s="540">
        <f>C282</f>
        <v>49.35</v>
      </c>
      <c r="J2668" s="367" t="s">
        <v>868</v>
      </c>
      <c r="K2668" s="540">
        <f t="shared" si="264"/>
        <v>296.10000000000002</v>
      </c>
      <c r="W2668" s="253"/>
      <c r="AA2668" s="356"/>
      <c r="AB2668" s="274"/>
      <c r="AC2668" s="274"/>
      <c r="AE2668" s="296"/>
      <c r="AF2668" s="377"/>
    </row>
    <row r="2669" spans="6:34" ht="20.25" customHeight="1">
      <c r="F2669" s="540">
        <v>2</v>
      </c>
      <c r="G2669" s="540" t="s">
        <v>868</v>
      </c>
      <c r="H2669" s="547" t="s">
        <v>2124</v>
      </c>
      <c r="I2669" s="540">
        <f>I1134</f>
        <v>60.9</v>
      </c>
      <c r="J2669" s="367" t="s">
        <v>868</v>
      </c>
      <c r="K2669" s="54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0.25" customHeight="1">
      <c r="F2670" s="540">
        <v>1</v>
      </c>
      <c r="G2670" s="540" t="s">
        <v>868</v>
      </c>
      <c r="H2670" s="367" t="s">
        <v>1417</v>
      </c>
      <c r="I2670" s="546">
        <f>I1135</f>
        <v>63.2</v>
      </c>
      <c r="J2670" s="367" t="s">
        <v>868</v>
      </c>
      <c r="K2670" s="540">
        <f t="shared" si="264"/>
        <v>63.2</v>
      </c>
      <c r="M2670" s="252">
        <v>0.04</v>
      </c>
      <c r="N2670" s="252" t="s">
        <v>869</v>
      </c>
      <c r="O2670" s="252" t="s">
        <v>693</v>
      </c>
      <c r="P2670" s="252">
        <f>I2663</f>
        <v>99400</v>
      </c>
      <c r="Q2670" s="252" t="s">
        <v>869</v>
      </c>
      <c r="R2670" s="252">
        <v>2172.65</v>
      </c>
      <c r="W2670" s="253"/>
      <c r="AA2670" s="356"/>
    </row>
    <row r="2671" spans="6:34" ht="20.25" customHeight="1">
      <c r="F2671" s="540">
        <v>2.52</v>
      </c>
      <c r="G2671" s="540" t="s">
        <v>609</v>
      </c>
      <c r="H2671" s="367" t="s">
        <v>1713</v>
      </c>
      <c r="I2671" s="540">
        <f>K1167</f>
        <v>194.22</v>
      </c>
      <c r="J2671" s="367" t="s">
        <v>609</v>
      </c>
      <c r="K2671" s="540">
        <f t="shared" si="264"/>
        <v>489.43</v>
      </c>
      <c r="M2671" s="252">
        <v>0.02</v>
      </c>
      <c r="N2671" s="252" t="s">
        <v>869</v>
      </c>
      <c r="O2671" s="252" t="s">
        <v>886</v>
      </c>
      <c r="P2671" s="252">
        <f>I2664</f>
        <v>13690</v>
      </c>
      <c r="Q2671" s="252" t="s">
        <v>869</v>
      </c>
      <c r="R2671" s="252">
        <v>56.02</v>
      </c>
      <c r="W2671" s="253"/>
    </row>
    <row r="2672" spans="6:34" ht="20.25" customHeight="1">
      <c r="F2672" s="540"/>
      <c r="G2672" s="540"/>
      <c r="H2672" s="367" t="s">
        <v>1414</v>
      </c>
      <c r="I2672" s="548" t="s">
        <v>449</v>
      </c>
      <c r="J2672" s="367"/>
      <c r="K2672" s="540">
        <v>2.13</v>
      </c>
      <c r="M2672" s="252">
        <v>1.36</v>
      </c>
      <c r="N2672" s="252" t="s">
        <v>609</v>
      </c>
      <c r="O2672" s="252" t="s">
        <v>887</v>
      </c>
      <c r="P2672" s="549">
        <v>385.89</v>
      </c>
      <c r="Q2672" s="252" t="s">
        <v>609</v>
      </c>
      <c r="R2672" s="252">
        <v>524.80999999999995</v>
      </c>
      <c r="W2672" s="253"/>
    </row>
    <row r="2673" spans="6:23" ht="20.25" customHeight="1">
      <c r="F2673" s="540"/>
      <c r="G2673" s="540"/>
      <c r="H2673" s="550"/>
      <c r="I2673" s="550"/>
      <c r="J2673" s="359"/>
      <c r="K2673" s="551" t="s">
        <v>1586</v>
      </c>
      <c r="M2673" s="252">
        <v>2.0499999999999998</v>
      </c>
      <c r="N2673" s="252" t="s">
        <v>609</v>
      </c>
      <c r="O2673" s="252" t="s">
        <v>1506</v>
      </c>
      <c r="P2673" s="252">
        <f t="shared" ref="P2673:P2678" si="265">I2666</f>
        <v>1281</v>
      </c>
      <c r="Q2673" s="252" t="s">
        <v>609</v>
      </c>
      <c r="R2673" s="252">
        <v>586.29999999999995</v>
      </c>
      <c r="W2673" s="253"/>
    </row>
    <row r="2674" spans="6:23" ht="20.25" customHeight="1">
      <c r="F2674" s="540"/>
      <c r="G2674" s="540"/>
      <c r="H2674" s="552" t="s">
        <v>1415</v>
      </c>
      <c r="I2674" s="550"/>
      <c r="J2674" s="359"/>
      <c r="K2674" s="550">
        <f>SUM(K2662:K2672)</f>
        <v>9396.9</v>
      </c>
      <c r="M2674" s="252">
        <v>2</v>
      </c>
      <c r="N2674" s="252" t="s">
        <v>868</v>
      </c>
      <c r="O2674" s="252" t="s">
        <v>1389</v>
      </c>
      <c r="P2674" s="252">
        <f t="shared" si="265"/>
        <v>57</v>
      </c>
      <c r="Q2674" s="252" t="s">
        <v>868</v>
      </c>
      <c r="R2674" s="252">
        <v>50</v>
      </c>
      <c r="W2674" s="253"/>
    </row>
    <row r="2675" spans="6:23" ht="20.25" customHeight="1">
      <c r="F2675" s="540"/>
      <c r="G2675" s="540" t="s">
        <v>975</v>
      </c>
      <c r="H2675" s="550"/>
      <c r="I2675" s="550"/>
      <c r="J2675" s="359"/>
      <c r="K2675" s="551" t="s">
        <v>1586</v>
      </c>
      <c r="M2675" s="252">
        <v>6</v>
      </c>
      <c r="N2675" s="252" t="s">
        <v>868</v>
      </c>
      <c r="O2675" s="252" t="s">
        <v>1343</v>
      </c>
      <c r="P2675" s="252">
        <f t="shared" si="265"/>
        <v>49.35</v>
      </c>
      <c r="Q2675" s="252" t="s">
        <v>868</v>
      </c>
      <c r="R2675" s="252">
        <v>150</v>
      </c>
      <c r="W2675" s="253"/>
    </row>
    <row r="2676" spans="6:23" ht="20.25" customHeight="1">
      <c r="F2676" s="540"/>
      <c r="G2676" s="540"/>
      <c r="H2676" s="552" t="s">
        <v>552</v>
      </c>
      <c r="I2676" s="550"/>
      <c r="J2676" s="359"/>
      <c r="K2676" s="550">
        <f>K2674/2.52</f>
        <v>3728.93</v>
      </c>
      <c r="M2676" s="252">
        <v>2</v>
      </c>
      <c r="N2676" s="252" t="s">
        <v>868</v>
      </c>
      <c r="O2676" s="252" t="s">
        <v>1390</v>
      </c>
      <c r="P2676" s="252">
        <f t="shared" si="265"/>
        <v>60.9</v>
      </c>
      <c r="Q2676" s="252" t="s">
        <v>868</v>
      </c>
      <c r="R2676" s="252">
        <v>70</v>
      </c>
      <c r="W2676" s="253"/>
    </row>
    <row r="2677" spans="6:23" ht="20.25" customHeight="1">
      <c r="F2677" s="540"/>
      <c r="G2677" s="540"/>
      <c r="H2677" s="550"/>
      <c r="I2677" s="550"/>
      <c r="J2677" s="359"/>
      <c r="K2677" s="551" t="s">
        <v>2055</v>
      </c>
      <c r="M2677" s="252">
        <v>1</v>
      </c>
      <c r="N2677" s="252" t="s">
        <v>868</v>
      </c>
      <c r="O2677" s="252" t="s">
        <v>1417</v>
      </c>
      <c r="P2677" s="252">
        <f t="shared" si="265"/>
        <v>63.2</v>
      </c>
      <c r="Q2677" s="252" t="s">
        <v>868</v>
      </c>
      <c r="R2677" s="252">
        <v>60</v>
      </c>
      <c r="W2677" s="253"/>
    </row>
    <row r="2678" spans="6:23" ht="20.25" customHeight="1">
      <c r="F2678" s="540"/>
      <c r="G2678" s="540"/>
      <c r="H2678" s="550"/>
      <c r="I2678" s="550"/>
      <c r="J2678" s="359"/>
      <c r="K2678" s="550"/>
      <c r="M2678" s="252">
        <v>2.52</v>
      </c>
      <c r="N2678" s="252" t="s">
        <v>609</v>
      </c>
      <c r="O2678" s="252" t="s">
        <v>1713</v>
      </c>
      <c r="P2678" s="252">
        <f t="shared" si="265"/>
        <v>194.22</v>
      </c>
      <c r="Q2678" s="252" t="s">
        <v>609</v>
      </c>
      <c r="R2678" s="252">
        <v>124.71</v>
      </c>
      <c r="W2678" s="253"/>
    </row>
    <row r="2679" spans="6:23" ht="20.25" customHeight="1">
      <c r="F2679" s="272" t="s">
        <v>762</v>
      </c>
      <c r="G2679" s="272"/>
      <c r="H2679" s="272"/>
      <c r="I2679" s="272"/>
      <c r="J2679" s="272"/>
      <c r="K2679" s="272"/>
      <c r="O2679" s="252" t="s">
        <v>1414</v>
      </c>
      <c r="P2679" s="252" t="s">
        <v>449</v>
      </c>
      <c r="R2679" s="252">
        <v>0.28000000000000003</v>
      </c>
      <c r="W2679" s="253"/>
    </row>
    <row r="2680" spans="6:23" ht="20.25" customHeight="1">
      <c r="F2680" s="553">
        <v>4</v>
      </c>
      <c r="G2680" s="252" t="s">
        <v>1030</v>
      </c>
      <c r="H2680" s="252" t="s">
        <v>1031</v>
      </c>
      <c r="I2680" s="252">
        <f>C394</f>
        <v>151.4</v>
      </c>
      <c r="J2680" s="296" t="s">
        <v>895</v>
      </c>
      <c r="K2680" s="553">
        <f>I2680*F2680</f>
        <v>605.6</v>
      </c>
      <c r="R2680" s="252" t="s">
        <v>1586</v>
      </c>
      <c r="W2680" s="253"/>
    </row>
    <row r="2681" spans="6:23" ht="20.25" customHeight="1">
      <c r="F2681" s="553">
        <v>2.52</v>
      </c>
      <c r="G2681" s="252" t="s">
        <v>895</v>
      </c>
      <c r="H2681" s="252" t="s">
        <v>818</v>
      </c>
      <c r="I2681" s="252">
        <f>C34/1000</f>
        <v>53</v>
      </c>
      <c r="J2681" s="296" t="s">
        <v>1645</v>
      </c>
      <c r="K2681" s="553">
        <f t="shared" ref="K2681:K2687" si="266">I2681*F2681</f>
        <v>133.56</v>
      </c>
      <c r="O2681" s="252" t="s">
        <v>1415</v>
      </c>
      <c r="R2681" s="252">
        <v>4559.0600000000004</v>
      </c>
      <c r="W2681" s="253"/>
    </row>
    <row r="2682" spans="6:23" ht="20.25" customHeight="1">
      <c r="F2682" s="553">
        <v>1.1299999999999999</v>
      </c>
      <c r="G2682" s="252" t="s">
        <v>895</v>
      </c>
      <c r="H2682" s="252" t="s">
        <v>819</v>
      </c>
      <c r="I2682" s="252">
        <f>I2681</f>
        <v>53</v>
      </c>
      <c r="J2682" s="296" t="s">
        <v>1645</v>
      </c>
      <c r="K2682" s="553">
        <f t="shared" si="266"/>
        <v>59.89</v>
      </c>
      <c r="N2682" s="252" t="s">
        <v>975</v>
      </c>
      <c r="R2682" s="252" t="s">
        <v>1586</v>
      </c>
      <c r="W2682" s="253"/>
    </row>
    <row r="2683" spans="6:23" ht="20.25" customHeight="1">
      <c r="F2683" s="553">
        <v>0.35</v>
      </c>
      <c r="G2683" s="252" t="s">
        <v>1645</v>
      </c>
      <c r="H2683" s="252" t="s">
        <v>820</v>
      </c>
      <c r="I2683" s="252">
        <f>I2682</f>
        <v>53</v>
      </c>
      <c r="J2683" s="296" t="s">
        <v>1645</v>
      </c>
      <c r="K2683" s="553">
        <f t="shared" si="266"/>
        <v>18.55</v>
      </c>
      <c r="O2683" s="252" t="s">
        <v>552</v>
      </c>
      <c r="R2683" s="252">
        <v>1809.15</v>
      </c>
      <c r="W2683" s="253"/>
    </row>
    <row r="2684" spans="6:23" ht="20.25" customHeight="1">
      <c r="F2684" s="553">
        <v>4</v>
      </c>
      <c r="G2684" s="252" t="s">
        <v>1645</v>
      </c>
      <c r="H2684" s="252" t="s">
        <v>106</v>
      </c>
      <c r="I2684" s="252">
        <f>C37</f>
        <v>0</v>
      </c>
      <c r="J2684" s="296" t="s">
        <v>1645</v>
      </c>
      <c r="K2684" s="553">
        <f t="shared" si="266"/>
        <v>0</v>
      </c>
      <c r="R2684" s="252" t="s">
        <v>2055</v>
      </c>
      <c r="W2684" s="253"/>
    </row>
    <row r="2685" spans="6:23" ht="20.25" customHeight="1">
      <c r="F2685" s="553">
        <v>6</v>
      </c>
      <c r="G2685" s="252" t="s">
        <v>1030</v>
      </c>
      <c r="H2685" s="252" t="s">
        <v>107</v>
      </c>
      <c r="I2685" s="314">
        <v>1</v>
      </c>
      <c r="J2685" s="296" t="s">
        <v>1398</v>
      </c>
      <c r="K2685" s="553">
        <f t="shared" si="266"/>
        <v>6</v>
      </c>
      <c r="W2685" s="253"/>
    </row>
    <row r="2686" spans="6:23" ht="20.25" customHeight="1">
      <c r="F2686" s="553">
        <v>0.5</v>
      </c>
      <c r="G2686" s="252" t="s">
        <v>1030</v>
      </c>
      <c r="H2686" s="252" t="s">
        <v>654</v>
      </c>
      <c r="I2686" s="252">
        <f>C12</f>
        <v>651</v>
      </c>
      <c r="J2686" s="296" t="s">
        <v>1398</v>
      </c>
      <c r="K2686" s="553">
        <f t="shared" si="266"/>
        <v>325.5</v>
      </c>
      <c r="W2686" s="253"/>
    </row>
    <row r="2687" spans="6:23" ht="20.25" customHeight="1">
      <c r="F2687" s="553">
        <v>0.5</v>
      </c>
      <c r="G2687" s="252" t="s">
        <v>1030</v>
      </c>
      <c r="H2687" s="252" t="s">
        <v>355</v>
      </c>
      <c r="I2687" s="252">
        <f>C13</f>
        <v>534</v>
      </c>
      <c r="J2687" s="296" t="s">
        <v>1398</v>
      </c>
      <c r="K2687" s="553">
        <f t="shared" si="266"/>
        <v>267</v>
      </c>
      <c r="W2687" s="253"/>
    </row>
    <row r="2688" spans="6:23" ht="20.25" customHeight="1">
      <c r="G2688" s="252" t="s">
        <v>449</v>
      </c>
      <c r="H2688" s="252" t="s">
        <v>108</v>
      </c>
      <c r="I2688" s="407" t="s">
        <v>449</v>
      </c>
      <c r="K2688" s="252">
        <v>21.69</v>
      </c>
      <c r="L2688" s="252">
        <f>24*176</f>
        <v>4224</v>
      </c>
      <c r="W2688" s="253"/>
    </row>
    <row r="2689" spans="6:23" ht="20.25" customHeight="1">
      <c r="H2689" s="554" t="s">
        <v>109</v>
      </c>
      <c r="K2689" s="555">
        <f>SUM(K2680:K2688)</f>
        <v>1437.79</v>
      </c>
      <c r="W2689" s="253"/>
    </row>
    <row r="2690" spans="6:23" ht="20.25" customHeight="1">
      <c r="H2690" s="554" t="s">
        <v>516</v>
      </c>
      <c r="K2690" s="555">
        <f>K2689/2</f>
        <v>718.9</v>
      </c>
      <c r="W2690" s="253"/>
    </row>
    <row r="2691" spans="6:23" ht="20.25" customHeight="1">
      <c r="L2691" s="252">
        <f>K2725+K2716</f>
        <v>191.9</v>
      </c>
      <c r="W2691" s="253"/>
    </row>
    <row r="2692" spans="6:23" ht="20.25" customHeight="1">
      <c r="H2692" s="252" t="s">
        <v>1474</v>
      </c>
      <c r="W2692" s="253"/>
    </row>
    <row r="2693" spans="6:23" ht="20.25" customHeight="1">
      <c r="W2693" s="253"/>
    </row>
    <row r="2694" spans="6:23" ht="20.25" customHeight="1">
      <c r="H2694" s="494" t="s">
        <v>2085</v>
      </c>
      <c r="J2694" s="253"/>
      <c r="W2694" s="253"/>
    </row>
    <row r="2695" spans="6:23" ht="20.25" customHeight="1">
      <c r="H2695" s="252" t="s">
        <v>631</v>
      </c>
      <c r="J2695" s="253"/>
      <c r="W2695" s="253"/>
    </row>
    <row r="2696" spans="6:23" ht="20.25" customHeight="1">
      <c r="F2696" s="252">
        <v>41.6</v>
      </c>
      <c r="G2696" s="252" t="s">
        <v>1645</v>
      </c>
      <c r="H2696" s="252" t="s">
        <v>1015</v>
      </c>
      <c r="I2696" s="252">
        <f>I2681</f>
        <v>53</v>
      </c>
      <c r="J2696" s="253" t="s">
        <v>1645</v>
      </c>
      <c r="K2696" s="252">
        <f>F2696*I2696</f>
        <v>2204.8000000000002</v>
      </c>
      <c r="W2696" s="253"/>
    </row>
    <row r="2697" spans="6:23" ht="20.25" customHeight="1">
      <c r="F2697" s="252">
        <v>0.5</v>
      </c>
      <c r="G2697" s="252" t="s">
        <v>1394</v>
      </c>
      <c r="H2697" s="252" t="s">
        <v>1016</v>
      </c>
      <c r="I2697" s="252">
        <f>AE21</f>
        <v>766</v>
      </c>
      <c r="J2697" s="253" t="s">
        <v>1398</v>
      </c>
      <c r="K2697" s="252">
        <f>F2697*I2697</f>
        <v>383</v>
      </c>
      <c r="W2697" s="253"/>
    </row>
    <row r="2698" spans="6:23" ht="20.25" customHeight="1">
      <c r="F2698" s="252">
        <v>1</v>
      </c>
      <c r="G2698" s="252" t="s">
        <v>560</v>
      </c>
      <c r="H2698" s="252" t="s">
        <v>1017</v>
      </c>
      <c r="I2698" s="252">
        <f>C10</f>
        <v>999</v>
      </c>
      <c r="J2698" s="253" t="s">
        <v>1398</v>
      </c>
      <c r="K2698" s="252">
        <f>F2698*I2698</f>
        <v>999</v>
      </c>
      <c r="W2698" s="253"/>
    </row>
    <row r="2699" spans="6:23" ht="20.25" customHeight="1">
      <c r="F2699" s="252">
        <v>1</v>
      </c>
      <c r="G2699" s="252" t="s">
        <v>560</v>
      </c>
      <c r="H2699" s="252" t="s">
        <v>1223</v>
      </c>
      <c r="I2699" s="252">
        <f>C13</f>
        <v>534</v>
      </c>
      <c r="J2699" s="253" t="s">
        <v>1398</v>
      </c>
      <c r="K2699" s="252">
        <f>F2699*I2699</f>
        <v>534</v>
      </c>
      <c r="W2699" s="253"/>
    </row>
    <row r="2700" spans="6:23" ht="20.25" customHeight="1">
      <c r="G2700" s="252" t="s">
        <v>449</v>
      </c>
      <c r="H2700" s="252" t="s">
        <v>817</v>
      </c>
      <c r="J2700" s="253" t="s">
        <v>449</v>
      </c>
      <c r="K2700" s="252">
        <v>27.7</v>
      </c>
      <c r="W2700" s="253"/>
    </row>
    <row r="2701" spans="6:23" ht="20.25" customHeight="1">
      <c r="H2701" s="407" t="s">
        <v>1708</v>
      </c>
      <c r="J2701" s="407" t="s">
        <v>721</v>
      </c>
      <c r="K2701" s="252">
        <f>SUM(K2696:K2700)</f>
        <v>4148.5</v>
      </c>
      <c r="W2701" s="253"/>
    </row>
    <row r="2702" spans="6:23" ht="20.25" customHeight="1">
      <c r="H2702" s="407" t="s">
        <v>1287</v>
      </c>
      <c r="J2702" s="407" t="s">
        <v>721</v>
      </c>
      <c r="K2702" s="252">
        <f>K2701/16</f>
        <v>259.27999999999997</v>
      </c>
      <c r="W2702" s="253"/>
    </row>
    <row r="2703" spans="6:23" ht="20.25" customHeight="1">
      <c r="H2703" s="360" t="s">
        <v>98</v>
      </c>
      <c r="I2703" s="274"/>
      <c r="J2703" s="360" t="s">
        <v>721</v>
      </c>
      <c r="K2703" s="274">
        <f>K2702/0.95</f>
        <v>272.93</v>
      </c>
      <c r="W2703" s="253"/>
    </row>
    <row r="2704" spans="6:23" ht="20.25" customHeight="1">
      <c r="J2704" s="253"/>
      <c r="W2704" s="253"/>
    </row>
    <row r="2705" spans="6:23" ht="20.25" customHeight="1">
      <c r="J2705" s="253"/>
      <c r="W2705" s="253"/>
    </row>
    <row r="2706" spans="6:23" ht="20.25" customHeight="1">
      <c r="F2706" s="253" t="s">
        <v>848</v>
      </c>
      <c r="G2706" s="252" t="s">
        <v>2251</v>
      </c>
      <c r="H2706" s="296" t="s">
        <v>998</v>
      </c>
      <c r="J2706" s="253"/>
      <c r="W2706" s="253"/>
    </row>
    <row r="2707" spans="6:23" ht="20.25" customHeight="1">
      <c r="H2707" s="296" t="s">
        <v>999</v>
      </c>
      <c r="J2707" s="253"/>
      <c r="W2707" s="253"/>
    </row>
    <row r="2708" spans="6:23" ht="20.25" customHeight="1">
      <c r="H2708" s="296" t="s">
        <v>1000</v>
      </c>
      <c r="J2708" s="253"/>
      <c r="W2708" s="253"/>
    </row>
    <row r="2709" spans="6:23" ht="20.25" customHeight="1">
      <c r="H2709" s="296" t="s">
        <v>28</v>
      </c>
      <c r="J2709" s="253"/>
      <c r="W2709" s="253"/>
    </row>
    <row r="2710" spans="6:23" ht="20.25" customHeight="1">
      <c r="H2710" s="358" t="s">
        <v>1586</v>
      </c>
      <c r="J2710" s="253"/>
      <c r="W2710" s="253"/>
    </row>
    <row r="2711" spans="6:23" ht="20.25" customHeight="1">
      <c r="F2711" s="252">
        <v>1.8</v>
      </c>
      <c r="G2711" s="252" t="s">
        <v>1645</v>
      </c>
      <c r="H2711" s="534" t="s">
        <v>1288</v>
      </c>
      <c r="I2711" s="252">
        <f>C609</f>
        <v>22.6</v>
      </c>
      <c r="J2711" s="253" t="s">
        <v>1645</v>
      </c>
      <c r="K2711" s="252">
        <f>(F2711*I2711)</f>
        <v>40.68</v>
      </c>
      <c r="W2711" s="253"/>
    </row>
    <row r="2712" spans="6:23" ht="20.25" customHeight="1">
      <c r="F2712" s="252">
        <v>0.25</v>
      </c>
      <c r="G2712" s="252" t="s">
        <v>868</v>
      </c>
      <c r="H2712" s="296" t="s">
        <v>29</v>
      </c>
      <c r="I2712" s="252">
        <f>C14</f>
        <v>797</v>
      </c>
      <c r="J2712" s="253" t="s">
        <v>868</v>
      </c>
      <c r="K2712" s="252">
        <f>(F2712*I2712)</f>
        <v>199.25</v>
      </c>
      <c r="W2712" s="253"/>
    </row>
    <row r="2713" spans="6:23" ht="20.25" customHeight="1">
      <c r="F2713" s="252">
        <v>0.25</v>
      </c>
      <c r="G2713" s="252" t="s">
        <v>868</v>
      </c>
      <c r="H2713" s="296" t="s">
        <v>934</v>
      </c>
      <c r="I2713" s="252">
        <f>C12</f>
        <v>651</v>
      </c>
      <c r="J2713" s="253" t="s">
        <v>868</v>
      </c>
      <c r="K2713" s="252">
        <f>(F2713*I2713)</f>
        <v>162.75</v>
      </c>
      <c r="W2713" s="253"/>
    </row>
    <row r="2714" spans="6:23" ht="20.25" customHeight="1">
      <c r="F2714" s="252">
        <v>0.4</v>
      </c>
      <c r="G2714" s="252" t="s">
        <v>868</v>
      </c>
      <c r="H2714" s="296" t="s">
        <v>320</v>
      </c>
      <c r="I2714" s="252">
        <f>C13</f>
        <v>534</v>
      </c>
      <c r="J2714" s="253" t="s">
        <v>868</v>
      </c>
      <c r="K2714" s="252">
        <f>(F2714*I2714)</f>
        <v>213.6</v>
      </c>
      <c r="W2714" s="253"/>
    </row>
    <row r="2715" spans="6:23" ht="20.25" customHeight="1">
      <c r="H2715" s="296"/>
      <c r="I2715" s="296" t="s">
        <v>975</v>
      </c>
      <c r="J2715" s="253"/>
      <c r="K2715" s="252">
        <f>SUM(K2711:K2714)</f>
        <v>616.28</v>
      </c>
      <c r="W2715" s="253"/>
    </row>
    <row r="2716" spans="6:23" ht="20.25" customHeight="1">
      <c r="H2716" s="274"/>
      <c r="I2716" s="274"/>
      <c r="J2716" s="255"/>
      <c r="K2716" s="360">
        <f>K2715/10</f>
        <v>61.63</v>
      </c>
      <c r="W2716" s="253"/>
    </row>
    <row r="2717" spans="6:23" ht="20.25" customHeight="1">
      <c r="F2717" s="252">
        <v>3</v>
      </c>
      <c r="G2717" s="252" t="s">
        <v>1645</v>
      </c>
      <c r="H2717" s="296" t="s">
        <v>440</v>
      </c>
      <c r="I2717" s="407">
        <f>C271</f>
        <v>49.85</v>
      </c>
      <c r="J2717" s="253" t="s">
        <v>1645</v>
      </c>
      <c r="K2717" s="407">
        <f>(F2717*I2717)</f>
        <v>149.55000000000001</v>
      </c>
      <c r="W2717" s="253"/>
    </row>
    <row r="2718" spans="6:23" ht="20.25" customHeight="1">
      <c r="F2718" s="252">
        <v>0.5</v>
      </c>
      <c r="G2718" s="252" t="s">
        <v>868</v>
      </c>
      <c r="H2718" s="296" t="s">
        <v>29</v>
      </c>
      <c r="I2718" s="407">
        <f>C14</f>
        <v>797</v>
      </c>
      <c r="J2718" s="253" t="s">
        <v>868</v>
      </c>
      <c r="K2718" s="407">
        <f>(F2718*I2718)</f>
        <v>398.5</v>
      </c>
      <c r="W2718" s="253"/>
    </row>
    <row r="2719" spans="6:23" ht="20.25" customHeight="1">
      <c r="F2719" s="252">
        <v>0.5</v>
      </c>
      <c r="G2719" s="252" t="s">
        <v>868</v>
      </c>
      <c r="H2719" s="296" t="s">
        <v>934</v>
      </c>
      <c r="I2719" s="407">
        <f>I2713</f>
        <v>651</v>
      </c>
      <c r="J2719" s="253" t="s">
        <v>868</v>
      </c>
      <c r="K2719" s="407">
        <f>(F2719*I2719)</f>
        <v>325.5</v>
      </c>
      <c r="W2719" s="253"/>
    </row>
    <row r="2720" spans="6:23" ht="20.25" customHeight="1">
      <c r="F2720" s="252">
        <v>0.8</v>
      </c>
      <c r="G2720" s="252" t="s">
        <v>868</v>
      </c>
      <c r="H2720" s="296" t="s">
        <v>320</v>
      </c>
      <c r="I2720" s="407">
        <f>I2714</f>
        <v>534</v>
      </c>
      <c r="J2720" s="253" t="s">
        <v>868</v>
      </c>
      <c r="K2720" s="407">
        <f>(F2720*I2720)</f>
        <v>427.2</v>
      </c>
      <c r="W2720" s="253"/>
    </row>
    <row r="2721" spans="6:23" ht="20.25" customHeight="1">
      <c r="G2721" s="252" t="s">
        <v>449</v>
      </c>
      <c r="H2721" s="296" t="s">
        <v>1836</v>
      </c>
      <c r="I2721" s="296" t="s">
        <v>975</v>
      </c>
      <c r="J2721" s="253" t="s">
        <v>449</v>
      </c>
      <c r="K2721" s="252">
        <v>1.9</v>
      </c>
      <c r="W2721" s="253"/>
    </row>
    <row r="2722" spans="6:23" ht="20.25" customHeight="1">
      <c r="H2722" s="274"/>
      <c r="I2722" s="274"/>
      <c r="J2722" s="255"/>
      <c r="K2722" s="388" t="s">
        <v>1586</v>
      </c>
      <c r="W2722" s="253"/>
    </row>
    <row r="2723" spans="6:23" ht="20.25" customHeight="1">
      <c r="H2723" s="276" t="s">
        <v>441</v>
      </c>
      <c r="I2723" s="274"/>
      <c r="J2723" s="255"/>
      <c r="K2723" s="274">
        <f>SUM(K2717:K2721)</f>
        <v>1302.6500000000001</v>
      </c>
      <c r="W2723" s="253"/>
    </row>
    <row r="2724" spans="6:23" ht="20.25" customHeight="1">
      <c r="H2724" s="274"/>
      <c r="I2724" s="274"/>
      <c r="J2724" s="255"/>
      <c r="K2724" s="388" t="s">
        <v>1586</v>
      </c>
      <c r="W2724" s="253"/>
    </row>
    <row r="2725" spans="6:23" ht="20.25" customHeight="1">
      <c r="H2725" s="276" t="s">
        <v>552</v>
      </c>
      <c r="I2725" s="274"/>
      <c r="J2725" s="255"/>
      <c r="K2725" s="274">
        <f>(K2723/10)</f>
        <v>130.27000000000001</v>
      </c>
      <c r="W2725" s="253"/>
    </row>
    <row r="2726" spans="6:23" ht="20.25" customHeight="1">
      <c r="J2726" s="252"/>
      <c r="W2726" s="253"/>
    </row>
    <row r="2727" spans="6:23" ht="20.25" customHeight="1">
      <c r="F2727" s="375"/>
      <c r="G2727" s="252" t="s">
        <v>2251</v>
      </c>
      <c r="H2727" s="296" t="s">
        <v>2047</v>
      </c>
      <c r="J2727" s="253"/>
      <c r="W2727" s="253"/>
    </row>
    <row r="2728" spans="6:23" ht="20.25" customHeight="1">
      <c r="H2728" s="296" t="s">
        <v>2277</v>
      </c>
      <c r="J2728" s="253"/>
      <c r="W2728" s="253"/>
    </row>
    <row r="2729" spans="6:23" ht="20.25" customHeight="1">
      <c r="H2729" s="296" t="s">
        <v>1289</v>
      </c>
      <c r="J2729" s="253"/>
      <c r="W2729" s="253"/>
    </row>
    <row r="2730" spans="6:23" ht="20.25" customHeight="1">
      <c r="H2730" s="358" t="s">
        <v>1586</v>
      </c>
      <c r="J2730" s="253"/>
      <c r="W2730" s="253"/>
    </row>
    <row r="2731" spans="6:23" ht="20.25" customHeight="1">
      <c r="G2731" s="252" t="s">
        <v>2278</v>
      </c>
      <c r="H2731" s="296" t="s">
        <v>948</v>
      </c>
      <c r="J2731" s="253"/>
      <c r="K2731" s="296" t="s">
        <v>1451</v>
      </c>
      <c r="W2731" s="253"/>
    </row>
    <row r="2732" spans="6:23" ht="20.25" customHeight="1">
      <c r="H2732" s="358" t="s">
        <v>1586</v>
      </c>
      <c r="J2732" s="253"/>
      <c r="K2732" s="358" t="s">
        <v>2055</v>
      </c>
      <c r="W2732" s="253"/>
    </row>
    <row r="2733" spans="6:23" ht="20.25" customHeight="1">
      <c r="F2733" s="252">
        <v>30</v>
      </c>
      <c r="G2733" s="252" t="s">
        <v>1771</v>
      </c>
      <c r="H2733" s="296" t="s">
        <v>1664</v>
      </c>
      <c r="I2733" s="252">
        <f>C661</f>
        <v>11.2</v>
      </c>
      <c r="J2733" s="253" t="s">
        <v>1771</v>
      </c>
      <c r="K2733" s="252">
        <f>(F2733*I2733)</f>
        <v>336</v>
      </c>
      <c r="W2733" s="253"/>
    </row>
    <row r="2734" spans="6:23" ht="20.25" customHeight="1">
      <c r="F2734" s="296" t="s">
        <v>975</v>
      </c>
      <c r="H2734" s="296" t="s">
        <v>1667</v>
      </c>
      <c r="I2734" s="296" t="s">
        <v>975</v>
      </c>
      <c r="J2734" s="253"/>
      <c r="K2734" s="296" t="s">
        <v>975</v>
      </c>
      <c r="W2734" s="253"/>
    </row>
    <row r="2735" spans="6:23" ht="20.25" customHeight="1">
      <c r="F2735" s="252">
        <v>8</v>
      </c>
      <c r="G2735" s="252" t="s">
        <v>868</v>
      </c>
      <c r="H2735" s="296" t="s">
        <v>2144</v>
      </c>
      <c r="I2735" s="252">
        <f>I1806</f>
        <v>8.9</v>
      </c>
      <c r="J2735" s="253" t="s">
        <v>868</v>
      </c>
      <c r="K2735" s="252">
        <f t="shared" ref="K2735:K2740" si="267">(F2735*I2735)</f>
        <v>71.2</v>
      </c>
      <c r="W2735" s="253"/>
    </row>
    <row r="2736" spans="6:23" ht="20.25" customHeight="1">
      <c r="F2736" s="252">
        <v>8</v>
      </c>
      <c r="G2736" s="252" t="s">
        <v>868</v>
      </c>
      <c r="H2736" s="296" t="s">
        <v>467</v>
      </c>
      <c r="I2736" s="252">
        <f>I1807</f>
        <v>12.65</v>
      </c>
      <c r="J2736" s="253" t="s">
        <v>868</v>
      </c>
      <c r="K2736" s="252">
        <f t="shared" si="267"/>
        <v>101.2</v>
      </c>
      <c r="L2736" s="470"/>
      <c r="W2736" s="253"/>
    </row>
    <row r="2737" spans="6:23" ht="20.25" customHeight="1">
      <c r="F2737" s="252">
        <v>3</v>
      </c>
      <c r="G2737" s="252" t="s">
        <v>868</v>
      </c>
      <c r="H2737" s="296" t="s">
        <v>1845</v>
      </c>
      <c r="I2737" s="252">
        <f>C41</f>
        <v>738</v>
      </c>
      <c r="J2737" s="253" t="s">
        <v>868</v>
      </c>
      <c r="K2737" s="252">
        <f t="shared" si="267"/>
        <v>2214</v>
      </c>
      <c r="L2737" s="473"/>
      <c r="W2737" s="253"/>
    </row>
    <row r="2738" spans="6:23" ht="20.25" customHeight="1">
      <c r="F2738" s="252">
        <v>1</v>
      </c>
      <c r="G2738" s="252" t="s">
        <v>868</v>
      </c>
      <c r="H2738" s="296" t="s">
        <v>1380</v>
      </c>
      <c r="I2738" s="252">
        <f>C10</f>
        <v>999</v>
      </c>
      <c r="J2738" s="253" t="s">
        <v>868</v>
      </c>
      <c r="K2738" s="252">
        <f t="shared" si="267"/>
        <v>999</v>
      </c>
      <c r="L2738" s="473"/>
      <c r="W2738" s="253"/>
    </row>
    <row r="2739" spans="6:23" ht="20.25" customHeight="1">
      <c r="F2739" s="252">
        <v>2</v>
      </c>
      <c r="G2739" s="252" t="s">
        <v>868</v>
      </c>
      <c r="H2739" s="296" t="s">
        <v>1902</v>
      </c>
      <c r="I2739" s="252">
        <f>C12</f>
        <v>651</v>
      </c>
      <c r="J2739" s="253" t="s">
        <v>868</v>
      </c>
      <c r="K2739" s="252">
        <f t="shared" si="267"/>
        <v>1302</v>
      </c>
      <c r="L2739" s="473"/>
      <c r="W2739" s="253"/>
    </row>
    <row r="2740" spans="6:23" ht="20.25" customHeight="1">
      <c r="F2740" s="252">
        <v>1</v>
      </c>
      <c r="G2740" s="252" t="s">
        <v>868</v>
      </c>
      <c r="H2740" s="296" t="s">
        <v>320</v>
      </c>
      <c r="I2740" s="252">
        <f>C13</f>
        <v>534</v>
      </c>
      <c r="J2740" s="253" t="s">
        <v>868</v>
      </c>
      <c r="K2740" s="252">
        <f t="shared" si="267"/>
        <v>534</v>
      </c>
      <c r="L2740" s="473"/>
      <c r="W2740" s="253"/>
    </row>
    <row r="2741" spans="6:23" ht="20.25" customHeight="1">
      <c r="G2741" s="252" t="s">
        <v>449</v>
      </c>
      <c r="H2741" s="389" t="s">
        <v>66</v>
      </c>
      <c r="I2741" s="252" t="s">
        <v>67</v>
      </c>
      <c r="J2741" s="253" t="s">
        <v>449</v>
      </c>
      <c r="K2741" s="252">
        <v>64.849999999999994</v>
      </c>
      <c r="L2741" s="473"/>
      <c r="W2741" s="253"/>
    </row>
    <row r="2742" spans="6:23" ht="20.25" customHeight="1">
      <c r="H2742" s="296"/>
      <c r="J2742" s="253"/>
      <c r="K2742" s="407"/>
      <c r="L2742" s="473"/>
      <c r="W2742" s="253"/>
    </row>
    <row r="2743" spans="6:23" ht="20.25" customHeight="1">
      <c r="J2743" s="252"/>
      <c r="L2743" s="473"/>
      <c r="W2743" s="253"/>
    </row>
    <row r="2744" spans="6:23" ht="20.25" customHeight="1">
      <c r="J2744" s="253"/>
      <c r="K2744" s="358" t="s">
        <v>1586</v>
      </c>
      <c r="L2744" s="473"/>
      <c r="W2744" s="253"/>
    </row>
    <row r="2745" spans="6:23" ht="20.25" customHeight="1">
      <c r="H2745" s="276" t="s">
        <v>1850</v>
      </c>
      <c r="I2745" s="274"/>
      <c r="J2745" s="255"/>
      <c r="K2745" s="274">
        <f>SUM(K2733:K2744)</f>
        <v>5622.25</v>
      </c>
      <c r="L2745" s="478"/>
      <c r="W2745" s="253"/>
    </row>
    <row r="2746" spans="6:23" ht="20.25" customHeight="1">
      <c r="H2746" s="274"/>
      <c r="I2746" s="274"/>
      <c r="J2746" s="255"/>
      <c r="K2746" s="388" t="s">
        <v>1586</v>
      </c>
      <c r="W2746" s="253"/>
    </row>
    <row r="2747" spans="6:23" ht="20.25" customHeight="1">
      <c r="H2747" s="276" t="s">
        <v>1545</v>
      </c>
      <c r="I2747" s="274"/>
      <c r="J2747" s="255"/>
      <c r="K2747" s="274">
        <f>(K2745/30)</f>
        <v>187.41</v>
      </c>
      <c r="W2747" s="253"/>
    </row>
    <row r="2748" spans="6:23" ht="20.25" customHeight="1">
      <c r="J2748" s="252"/>
      <c r="W2748" s="253"/>
    </row>
    <row r="2749" spans="6:23" ht="20.25" customHeight="1">
      <c r="J2749" s="252"/>
      <c r="W2749" s="253"/>
    </row>
    <row r="2750" spans="6:23" ht="20.25" customHeight="1">
      <c r="F2750" s="369">
        <v>52</v>
      </c>
      <c r="G2750" s="252" t="s">
        <v>2251</v>
      </c>
      <c r="H2750" s="296" t="s">
        <v>99</v>
      </c>
      <c r="J2750" s="253"/>
      <c r="W2750" s="253"/>
    </row>
    <row r="2751" spans="6:23" ht="20.25" customHeight="1">
      <c r="H2751" s="296" t="s">
        <v>2169</v>
      </c>
      <c r="J2751" s="253"/>
      <c r="W2751" s="253"/>
    </row>
    <row r="2752" spans="6:23" ht="20.25" customHeight="1">
      <c r="H2752" s="296" t="s">
        <v>2170</v>
      </c>
      <c r="J2752" s="253"/>
      <c r="W2752" s="253"/>
    </row>
    <row r="2753" spans="5:23" ht="20.25" customHeight="1">
      <c r="H2753" s="296" t="s">
        <v>1406</v>
      </c>
      <c r="J2753" s="253"/>
      <c r="W2753" s="253"/>
    </row>
    <row r="2754" spans="5:23" ht="20.25" customHeight="1">
      <c r="H2754" s="296" t="s">
        <v>1407</v>
      </c>
      <c r="J2754" s="253"/>
      <c r="W2754" s="253"/>
    </row>
    <row r="2755" spans="5:23" ht="20.25" customHeight="1">
      <c r="E2755" s="252">
        <f>6*0.3</f>
        <v>1.8</v>
      </c>
      <c r="H2755" s="296" t="s">
        <v>723</v>
      </c>
      <c r="J2755" s="253"/>
      <c r="W2755" s="253"/>
    </row>
    <row r="2756" spans="5:23" ht="20.25" customHeight="1">
      <c r="E2756" s="252">
        <f>3.5+E2755</f>
        <v>5.3</v>
      </c>
      <c r="H2756" s="296" t="s">
        <v>1352</v>
      </c>
      <c r="J2756" s="253"/>
      <c r="L2756" s="252">
        <f>K2790</f>
        <v>233</v>
      </c>
      <c r="W2756" s="253"/>
    </row>
    <row r="2757" spans="5:23" ht="20.25" customHeight="1">
      <c r="E2757" s="252">
        <f>3.14*0.3*0.3</f>
        <v>0.28000000000000003</v>
      </c>
      <c r="H2757" s="296" t="s">
        <v>710</v>
      </c>
      <c r="J2757" s="253"/>
      <c r="L2757" s="252">
        <f>K2791</f>
        <v>2278.5</v>
      </c>
      <c r="W2757" s="253"/>
    </row>
    <row r="2758" spans="5:23" ht="20.25" customHeight="1">
      <c r="H2758" s="358" t="s">
        <v>2055</v>
      </c>
      <c r="I2758" s="358" t="s">
        <v>2055</v>
      </c>
      <c r="J2758" s="253"/>
      <c r="W2758" s="253"/>
    </row>
    <row r="2759" spans="5:23" ht="20.25" customHeight="1">
      <c r="E2759" s="252">
        <f>E2757/4</f>
        <v>7.0000000000000007E-2</v>
      </c>
      <c r="G2759" s="252" t="s">
        <v>2251</v>
      </c>
      <c r="H2759" s="296" t="s">
        <v>918</v>
      </c>
      <c r="J2759" s="253"/>
      <c r="L2759" s="252">
        <f>SUM(L2756:L2757)</f>
        <v>2511.5</v>
      </c>
      <c r="W2759" s="253"/>
    </row>
    <row r="2760" spans="5:23" ht="20.25" customHeight="1">
      <c r="E2760" s="316">
        <f>E2759*E2756</f>
        <v>0.371</v>
      </c>
      <c r="H2760" s="296" t="s">
        <v>806</v>
      </c>
      <c r="J2760" s="253"/>
      <c r="W2760" s="253"/>
    </row>
    <row r="2761" spans="5:23" ht="20.25" customHeight="1">
      <c r="G2761" s="252" t="s">
        <v>316</v>
      </c>
      <c r="H2761" s="296" t="s">
        <v>807</v>
      </c>
      <c r="J2761" s="253"/>
      <c r="W2761" s="253"/>
    </row>
    <row r="2762" spans="5:23" ht="20.25" customHeight="1">
      <c r="H2762" s="358" t="s">
        <v>1586</v>
      </c>
      <c r="J2762" s="253"/>
      <c r="W2762" s="253"/>
    </row>
    <row r="2763" spans="5:23" ht="20.25" customHeight="1">
      <c r="F2763" s="252">
        <v>1</v>
      </c>
      <c r="G2763" s="252" t="s">
        <v>826</v>
      </c>
      <c r="H2763" s="296" t="s">
        <v>618</v>
      </c>
      <c r="I2763" s="252">
        <f>I1870</f>
        <v>26</v>
      </c>
      <c r="J2763" s="253" t="s">
        <v>826</v>
      </c>
      <c r="K2763" s="252">
        <f>(F2763*I2763)</f>
        <v>26</v>
      </c>
      <c r="W2763" s="253"/>
    </row>
    <row r="2764" spans="5:23" ht="20.25" customHeight="1">
      <c r="F2764" s="252">
        <v>1</v>
      </c>
      <c r="G2764" s="252" t="s">
        <v>449</v>
      </c>
      <c r="H2764" s="296" t="s">
        <v>1801</v>
      </c>
      <c r="I2764" s="252">
        <f>I2763*0.7</f>
        <v>18.2</v>
      </c>
      <c r="J2764" s="253" t="s">
        <v>449</v>
      </c>
      <c r="K2764" s="252">
        <f>(F2764*I2764)</f>
        <v>18.2</v>
      </c>
      <c r="W2764" s="253"/>
    </row>
    <row r="2765" spans="5:23" ht="20.25" customHeight="1">
      <c r="F2765" s="252">
        <v>1</v>
      </c>
      <c r="G2765" s="252" t="s">
        <v>826</v>
      </c>
      <c r="H2765" s="296" t="s">
        <v>161</v>
      </c>
      <c r="I2765" s="252">
        <f>K2747</f>
        <v>187.41</v>
      </c>
      <c r="J2765" s="253" t="s">
        <v>826</v>
      </c>
      <c r="K2765" s="252">
        <f>(F2765*I2765)</f>
        <v>187.41</v>
      </c>
      <c r="W2765" s="253"/>
    </row>
    <row r="2766" spans="5:23" ht="20.25" customHeight="1">
      <c r="I2766" s="296" t="s">
        <v>975</v>
      </c>
      <c r="J2766" s="253"/>
      <c r="K2766" s="358"/>
      <c r="W2766" s="253"/>
    </row>
    <row r="2767" spans="5:23" ht="20.25" customHeight="1">
      <c r="H2767" s="276" t="s">
        <v>377</v>
      </c>
      <c r="I2767" s="274"/>
      <c r="J2767" s="255"/>
      <c r="K2767" s="274">
        <f>SUM(K2763:K2765)</f>
        <v>231.61</v>
      </c>
      <c r="W2767" s="253"/>
    </row>
    <row r="2768" spans="5:23" ht="20.25" customHeight="1">
      <c r="H2768" s="296" t="s">
        <v>975</v>
      </c>
      <c r="I2768" s="296" t="s">
        <v>975</v>
      </c>
      <c r="J2768" s="253"/>
      <c r="K2768" s="358" t="s">
        <v>2055</v>
      </c>
      <c r="S2768" s="384" t="s">
        <v>564</v>
      </c>
      <c r="T2768" s="252" t="s">
        <v>2251</v>
      </c>
      <c r="U2768" s="296" t="s">
        <v>331</v>
      </c>
      <c r="W2768" s="253"/>
    </row>
    <row r="2769" spans="6:29" ht="20.25" customHeight="1">
      <c r="J2769" s="252"/>
      <c r="U2769" s="296" t="s">
        <v>256</v>
      </c>
      <c r="W2769" s="253"/>
    </row>
    <row r="2770" spans="6:29" ht="20.25" customHeight="1">
      <c r="F2770" s="556"/>
      <c r="G2770" s="482"/>
      <c r="H2770" s="482"/>
      <c r="I2770" s="482"/>
      <c r="J2770" s="482"/>
      <c r="K2770" s="482"/>
      <c r="U2770" s="296" t="s">
        <v>1470</v>
      </c>
      <c r="W2770" s="253"/>
    </row>
    <row r="2771" spans="6:29" ht="20.25" customHeight="1">
      <c r="F2771" s="557"/>
      <c r="G2771" s="274" t="s">
        <v>966</v>
      </c>
      <c r="J2771" s="253"/>
      <c r="U2771" s="358" t="s">
        <v>1586</v>
      </c>
      <c r="W2771" s="253"/>
    </row>
    <row r="2772" spans="6:29" ht="20.25" customHeight="1">
      <c r="F2772" s="484"/>
      <c r="J2772" s="253"/>
      <c r="U2772" s="296" t="s">
        <v>1882</v>
      </c>
      <c r="W2772" s="253"/>
    </row>
    <row r="2773" spans="6:29" ht="20.25" customHeight="1">
      <c r="F2773" s="484">
        <v>5</v>
      </c>
      <c r="G2773" s="252" t="s">
        <v>967</v>
      </c>
      <c r="H2773" s="368" t="s">
        <v>4261</v>
      </c>
      <c r="I2773" s="558">
        <v>160</v>
      </c>
      <c r="J2773" s="253" t="s">
        <v>968</v>
      </c>
      <c r="K2773" s="252">
        <f>I2773*F2773</f>
        <v>800</v>
      </c>
      <c r="U2773" s="296" t="s">
        <v>1883</v>
      </c>
      <c r="W2773" s="253"/>
    </row>
    <row r="2774" spans="6:29" ht="20.25" customHeight="1">
      <c r="F2774" s="484">
        <v>1</v>
      </c>
      <c r="G2774" s="252" t="s">
        <v>1394</v>
      </c>
      <c r="H2774" s="252" t="s">
        <v>765</v>
      </c>
      <c r="I2774" s="314">
        <v>75</v>
      </c>
      <c r="J2774" s="253" t="s">
        <v>1398</v>
      </c>
      <c r="K2774" s="252">
        <f>I2774*F2774</f>
        <v>75</v>
      </c>
      <c r="W2774" s="253" t="s">
        <v>1586</v>
      </c>
    </row>
    <row r="2775" spans="6:29" ht="20.25" customHeight="1">
      <c r="F2775" s="484">
        <v>2.5</v>
      </c>
      <c r="G2775" s="252" t="s">
        <v>1394</v>
      </c>
      <c r="H2775" s="252" t="s">
        <v>766</v>
      </c>
      <c r="I2775" s="252">
        <f>C14</f>
        <v>797</v>
      </c>
      <c r="J2775" s="253" t="s">
        <v>1394</v>
      </c>
      <c r="K2775" s="252">
        <f>I2775*F2775</f>
        <v>1992.5</v>
      </c>
      <c r="U2775" s="296" t="s">
        <v>1301</v>
      </c>
      <c r="W2775" s="253"/>
    </row>
    <row r="2776" spans="6:29" ht="20.25" customHeight="1">
      <c r="F2776" s="484"/>
      <c r="H2776" s="252" t="s">
        <v>2271</v>
      </c>
      <c r="I2776" s="407" t="s">
        <v>449</v>
      </c>
      <c r="J2776" s="253"/>
      <c r="K2776" s="252">
        <v>0.25</v>
      </c>
      <c r="U2776" s="296" t="s">
        <v>1302</v>
      </c>
      <c r="W2776" s="253"/>
      <c r="X2776" s="400">
        <v>2.7099999999999999E-2</v>
      </c>
    </row>
    <row r="2777" spans="6:29" ht="20.25" customHeight="1">
      <c r="F2777" s="484"/>
      <c r="J2777" s="253"/>
      <c r="K2777" s="514" t="s">
        <v>2055</v>
      </c>
      <c r="W2777" s="253" t="s">
        <v>975</v>
      </c>
      <c r="X2777" s="358" t="s">
        <v>1586</v>
      </c>
      <c r="Y2777" s="400">
        <f>SUM(X2778:X2779)</f>
        <v>1.6420000000000001E-2</v>
      </c>
    </row>
    <row r="2778" spans="6:29" ht="20.25" customHeight="1">
      <c r="F2778" s="484"/>
      <c r="I2778" s="252" t="s">
        <v>767</v>
      </c>
      <c r="J2778" s="253" t="s">
        <v>2055</v>
      </c>
      <c r="K2778" s="274">
        <f>SUM(K2773:K2777)</f>
        <v>2867.75</v>
      </c>
      <c r="L2778" s="400">
        <f>K2811+K2810</f>
        <v>1.6420000000000001E-2</v>
      </c>
      <c r="U2778" s="296" t="s">
        <v>1303</v>
      </c>
      <c r="W2778" s="559" t="s">
        <v>975</v>
      </c>
      <c r="X2778" s="400">
        <v>1.2840000000000001E-2</v>
      </c>
    </row>
    <row r="2779" spans="6:29" ht="20.25" customHeight="1">
      <c r="F2779" s="486"/>
      <c r="G2779" s="487"/>
      <c r="H2779" s="487"/>
      <c r="I2779" s="487"/>
      <c r="J2779" s="560"/>
      <c r="K2779" s="561" t="s">
        <v>2055</v>
      </c>
      <c r="U2779" s="296" t="s">
        <v>944</v>
      </c>
      <c r="W2779" s="253" t="s">
        <v>975</v>
      </c>
      <c r="X2779" s="400">
        <v>3.5799999999999998E-3</v>
      </c>
    </row>
    <row r="2780" spans="6:29" ht="20.25" customHeight="1">
      <c r="J2780" s="253"/>
      <c r="W2780" s="253"/>
      <c r="X2780" s="358" t="s">
        <v>1586</v>
      </c>
    </row>
    <row r="2781" spans="6:29" ht="20.25" customHeight="1">
      <c r="F2781" s="252" t="s">
        <v>942</v>
      </c>
      <c r="J2781" s="253"/>
      <c r="S2781" s="356">
        <f>F2813</f>
        <v>1.9E-2</v>
      </c>
      <c r="T2781" s="252" t="s">
        <v>869</v>
      </c>
      <c r="U2781" s="296" t="s">
        <v>332</v>
      </c>
      <c r="V2781" s="252">
        <f>C86</f>
        <v>34300</v>
      </c>
      <c r="W2781" s="253" t="s">
        <v>869</v>
      </c>
      <c r="X2781" s="252">
        <f>(S2781*V2781)</f>
        <v>651.70000000000005</v>
      </c>
    </row>
    <row r="2782" spans="6:29" ht="20.25"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0.25"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0.25" customHeight="1">
      <c r="J2784" s="253"/>
      <c r="U2784" s="296"/>
      <c r="V2784" s="252">
        <f>V958</f>
        <v>0</v>
      </c>
      <c r="W2784" s="253"/>
      <c r="X2784" s="252">
        <f t="shared" si="269"/>
        <v>0</v>
      </c>
      <c r="AC2784" s="274" t="s">
        <v>1745</v>
      </c>
    </row>
    <row r="2785" spans="6:33" ht="20.25"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0.25" customHeight="1">
      <c r="J2786" s="253"/>
      <c r="S2786" s="356">
        <f t="shared" si="268"/>
        <v>2</v>
      </c>
      <c r="T2786" s="252" t="s">
        <v>769</v>
      </c>
      <c r="U2786" s="296" t="s">
        <v>1463</v>
      </c>
      <c r="V2786" s="252">
        <f t="shared" ref="V2786:V2791" si="270">I2818</f>
        <v>254.5</v>
      </c>
      <c r="W2786" s="253" t="s">
        <v>868</v>
      </c>
      <c r="X2786" s="252">
        <f t="shared" si="269"/>
        <v>509</v>
      </c>
      <c r="AB2786" s="562">
        <v>2.6159999999999999E-2</v>
      </c>
      <c r="AC2786" s="274" t="s">
        <v>869</v>
      </c>
      <c r="AD2786" s="274" t="s">
        <v>3124</v>
      </c>
      <c r="AE2786" s="274">
        <f>I2813</f>
        <v>111600</v>
      </c>
      <c r="AF2786" s="276" t="s">
        <v>869</v>
      </c>
      <c r="AG2786" s="274">
        <f>AE2786*AB2786</f>
        <v>2919.46</v>
      </c>
    </row>
    <row r="2787" spans="6:33" ht="20.25" customHeight="1">
      <c r="F2787" s="274" t="s">
        <v>463</v>
      </c>
      <c r="J2787" s="253"/>
      <c r="S2787" s="356">
        <f t="shared" si="268"/>
        <v>3</v>
      </c>
      <c r="T2787" s="252" t="s">
        <v>868</v>
      </c>
      <c r="U2787" s="296" t="s">
        <v>1464</v>
      </c>
      <c r="V2787" s="252">
        <f t="shared" si="270"/>
        <v>214.1</v>
      </c>
      <c r="W2787" s="253" t="s">
        <v>868</v>
      </c>
      <c r="X2787" s="252">
        <f t="shared" si="269"/>
        <v>642.29999999999995</v>
      </c>
      <c r="AB2787" s="562">
        <v>4.7809999999999998E-2</v>
      </c>
      <c r="AC2787" s="274" t="s">
        <v>869</v>
      </c>
      <c r="AD2787" s="274" t="s">
        <v>2488</v>
      </c>
      <c r="AE2787" s="274">
        <f>I2814</f>
        <v>99400</v>
      </c>
      <c r="AF2787" s="276" t="s">
        <v>869</v>
      </c>
      <c r="AG2787" s="274">
        <f t="shared" ref="AG2787:AG2796" si="271">AE2787*AB2787</f>
        <v>4752.3100000000004</v>
      </c>
    </row>
    <row r="2788" spans="6:33" ht="20.25" customHeight="1">
      <c r="J2788" s="253"/>
      <c r="S2788" s="356">
        <f t="shared" si="268"/>
        <v>2</v>
      </c>
      <c r="T2788" s="252" t="s">
        <v>868</v>
      </c>
      <c r="U2788" s="296" t="s">
        <v>1465</v>
      </c>
      <c r="V2788" s="252">
        <f t="shared" si="270"/>
        <v>408</v>
      </c>
      <c r="W2788" s="253" t="s">
        <v>868</v>
      </c>
      <c r="X2788" s="252">
        <f t="shared" si="269"/>
        <v>816</v>
      </c>
      <c r="AB2788" s="563">
        <v>4.5879999999999997E-2</v>
      </c>
      <c r="AC2788" s="274" t="s">
        <v>869</v>
      </c>
      <c r="AD2788" s="274" t="s">
        <v>1746</v>
      </c>
      <c r="AE2788" s="274">
        <f>I3320</f>
        <v>107000</v>
      </c>
      <c r="AF2788" s="276" t="s">
        <v>869</v>
      </c>
      <c r="AG2788" s="274">
        <f t="shared" si="271"/>
        <v>4909.16</v>
      </c>
    </row>
    <row r="2789" spans="6:33" ht="20.25" customHeight="1">
      <c r="F2789" s="356">
        <v>0.37</v>
      </c>
      <c r="G2789" s="252" t="s">
        <v>2151</v>
      </c>
      <c r="H2789" s="252" t="s">
        <v>3045</v>
      </c>
      <c r="I2789" s="252">
        <f>X688</f>
        <v>8556.02</v>
      </c>
      <c r="J2789" s="407" t="s">
        <v>2151</v>
      </c>
      <c r="K2789" s="252">
        <f>F2789*I2789</f>
        <v>3165.73</v>
      </c>
      <c r="S2789" s="356">
        <f t="shared" si="268"/>
        <v>1</v>
      </c>
      <c r="T2789" s="252" t="s">
        <v>868</v>
      </c>
      <c r="U2789" s="296" t="s">
        <v>1466</v>
      </c>
      <c r="V2789" s="252">
        <f t="shared" si="270"/>
        <v>836</v>
      </c>
      <c r="W2789" s="253" t="s">
        <v>868</v>
      </c>
      <c r="X2789" s="252">
        <f t="shared" si="269"/>
        <v>836</v>
      </c>
      <c r="AB2789" s="563">
        <v>3.95</v>
      </c>
      <c r="AC2789" s="274" t="s">
        <v>609</v>
      </c>
      <c r="AD2789" s="274" t="s">
        <v>883</v>
      </c>
      <c r="AE2789" s="274">
        <f>I2817</f>
        <v>1537</v>
      </c>
      <c r="AF2789" s="276" t="s">
        <v>609</v>
      </c>
      <c r="AG2789" s="274">
        <f t="shared" si="271"/>
        <v>6071.15</v>
      </c>
    </row>
    <row r="2790" spans="6:33" ht="20.25"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0.25"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0.25"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0.25"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0.25"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0.25"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0.25" customHeight="1">
      <c r="I2796" s="252" t="s">
        <v>3044</v>
      </c>
      <c r="J2796" s="253"/>
      <c r="K2796" s="252">
        <f>SUM(K2789:K2793)</f>
        <v>5928.38</v>
      </c>
      <c r="W2796" s="253"/>
      <c r="AB2796" s="274">
        <v>10</v>
      </c>
      <c r="AC2796" s="274"/>
      <c r="AD2796" s="274" t="s">
        <v>1742</v>
      </c>
      <c r="AE2796" s="274">
        <f>V2792</f>
        <v>2.41</v>
      </c>
      <c r="AF2796" s="276"/>
      <c r="AG2796" s="274">
        <f t="shared" si="271"/>
        <v>24.1</v>
      </c>
    </row>
    <row r="2797" spans="6:33" ht="20.25" customHeight="1">
      <c r="J2797" s="253"/>
      <c r="W2797" s="253"/>
      <c r="AB2797" s="274"/>
      <c r="AC2797" s="274"/>
      <c r="AD2797" s="274" t="s">
        <v>552</v>
      </c>
      <c r="AE2797" s="274"/>
      <c r="AF2797" s="276"/>
      <c r="AG2797" s="274">
        <f>SUM(AG2786:AG2796)</f>
        <v>23051.48</v>
      </c>
    </row>
    <row r="2798" spans="6:33" ht="20.25" customHeight="1">
      <c r="I2798" s="252" t="s">
        <v>1881</v>
      </c>
      <c r="J2798" s="253"/>
      <c r="K2798" s="252">
        <f>K2796/3.5</f>
        <v>1693.82</v>
      </c>
      <c r="W2798" s="253"/>
      <c r="AB2798" s="274"/>
      <c r="AC2798" s="274"/>
      <c r="AD2798" s="274"/>
      <c r="AE2798" s="274"/>
      <c r="AF2798" s="276"/>
      <c r="AG2798" s="535" t="s">
        <v>146</v>
      </c>
    </row>
    <row r="2799" spans="6:33" ht="20.25" customHeight="1">
      <c r="J2799" s="253"/>
      <c r="W2799" s="253"/>
      <c r="AB2799" s="274"/>
      <c r="AC2799" s="274"/>
      <c r="AD2799" s="274" t="s">
        <v>552</v>
      </c>
      <c r="AE2799" s="274"/>
      <c r="AF2799" s="276"/>
      <c r="AG2799" s="274">
        <f>AG2797/AB2789</f>
        <v>5835.82</v>
      </c>
    </row>
    <row r="2800" spans="6:33" ht="20.25" customHeight="1">
      <c r="F2800" s="253" t="s">
        <v>564</v>
      </c>
      <c r="G2800" s="252" t="s">
        <v>2251</v>
      </c>
      <c r="H2800" s="296" t="s">
        <v>255</v>
      </c>
      <c r="J2800" s="253"/>
      <c r="W2800" s="253"/>
      <c r="AB2800" s="274"/>
      <c r="AC2800" s="274"/>
      <c r="AD2800" s="274"/>
      <c r="AE2800" s="274"/>
      <c r="AF2800" s="276"/>
      <c r="AG2800" s="535" t="s">
        <v>146</v>
      </c>
    </row>
    <row r="2801" spans="6:23" ht="20.25" customHeight="1">
      <c r="H2801" s="296" t="s">
        <v>256</v>
      </c>
      <c r="J2801" s="253"/>
      <c r="W2801" s="253"/>
    </row>
    <row r="2802" spans="6:23" ht="20.25" customHeight="1">
      <c r="H2802" s="296" t="s">
        <v>1470</v>
      </c>
      <c r="I2802" s="274" t="s">
        <v>2211</v>
      </c>
      <c r="J2802" s="253"/>
      <c r="W2802" s="253"/>
    </row>
    <row r="2803" spans="6:23" ht="20.25" customHeight="1">
      <c r="H2803" s="358" t="s">
        <v>1586</v>
      </c>
      <c r="J2803" s="253"/>
      <c r="W2803" s="253"/>
    </row>
    <row r="2804" spans="6:23" ht="20.25" customHeight="1">
      <c r="H2804" s="296" t="s">
        <v>1882</v>
      </c>
      <c r="J2804" s="253"/>
      <c r="W2804" s="253"/>
    </row>
    <row r="2805" spans="6:23" ht="20.25" customHeight="1">
      <c r="H2805" s="296" t="s">
        <v>1883</v>
      </c>
      <c r="J2805" s="253"/>
      <c r="W2805" s="253"/>
    </row>
    <row r="2806" spans="6:23" ht="20.25" customHeight="1">
      <c r="J2806" s="253" t="s">
        <v>1586</v>
      </c>
      <c r="W2806" s="253"/>
    </row>
    <row r="2807" spans="6:23" ht="20.25" customHeight="1">
      <c r="H2807" s="296" t="s">
        <v>1301</v>
      </c>
      <c r="J2807" s="253"/>
      <c r="M2807" s="253" t="s">
        <v>564</v>
      </c>
      <c r="N2807" s="252" t="s">
        <v>2251</v>
      </c>
      <c r="O2807" s="296" t="s">
        <v>255</v>
      </c>
      <c r="Q2807" s="253"/>
      <c r="W2807" s="253"/>
    </row>
    <row r="2808" spans="6:23" ht="20.25" customHeight="1">
      <c r="H2808" s="296" t="s">
        <v>1302</v>
      </c>
      <c r="J2808" s="253"/>
      <c r="K2808" s="400">
        <v>2.7099999999999999E-2</v>
      </c>
      <c r="O2808" s="296" t="s">
        <v>256</v>
      </c>
      <c r="Q2808" s="253"/>
      <c r="W2808" s="253"/>
    </row>
    <row r="2809" spans="6:23" ht="20.25" customHeight="1">
      <c r="J2809" s="253" t="s">
        <v>975</v>
      </c>
      <c r="K2809" s="358" t="s">
        <v>1586</v>
      </c>
      <c r="O2809" s="296" t="s">
        <v>708</v>
      </c>
      <c r="P2809" s="274" t="s">
        <v>2210</v>
      </c>
      <c r="Q2809" s="253"/>
      <c r="W2809" s="253"/>
    </row>
    <row r="2810" spans="6:23" ht="20.25" customHeight="1">
      <c r="H2810" s="296" t="s">
        <v>1303</v>
      </c>
      <c r="J2810" s="559" t="s">
        <v>975</v>
      </c>
      <c r="K2810" s="400">
        <v>1.2840000000000001E-2</v>
      </c>
      <c r="O2810" s="358" t="s">
        <v>1586</v>
      </c>
      <c r="Q2810" s="253"/>
      <c r="W2810" s="253"/>
    </row>
    <row r="2811" spans="6:23" ht="20.25" customHeight="1">
      <c r="H2811" s="296" t="s">
        <v>2212</v>
      </c>
      <c r="J2811" s="253" t="s">
        <v>975</v>
      </c>
      <c r="K2811" s="400">
        <v>3.5799999999999998E-3</v>
      </c>
      <c r="O2811" s="296" t="s">
        <v>423</v>
      </c>
      <c r="Q2811" s="253"/>
      <c r="W2811" s="253"/>
    </row>
    <row r="2812" spans="6:23" ht="20.25" customHeight="1">
      <c r="F2812" s="447"/>
      <c r="J2812" s="253"/>
      <c r="K2812" s="358" t="s">
        <v>1586</v>
      </c>
      <c r="O2812" s="296" t="s">
        <v>1883</v>
      </c>
      <c r="Q2812" s="253"/>
      <c r="W2812" s="253"/>
    </row>
    <row r="2813" spans="6:23" ht="20.25" customHeight="1">
      <c r="F2813" s="400">
        <v>1.898E-2</v>
      </c>
      <c r="G2813" s="252" t="s">
        <v>869</v>
      </c>
      <c r="H2813" s="296" t="s">
        <v>308</v>
      </c>
      <c r="I2813" s="252">
        <f>AC26</f>
        <v>111600</v>
      </c>
      <c r="J2813" s="253" t="s">
        <v>869</v>
      </c>
      <c r="K2813" s="252">
        <f>(F2813*I2813)</f>
        <v>2118.17</v>
      </c>
      <c r="Q2813" s="253" t="s">
        <v>1586</v>
      </c>
      <c r="W2813" s="253"/>
    </row>
    <row r="2814" spans="6:23" ht="20.25"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0.25"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0.25" customHeight="1">
      <c r="F2816" s="316"/>
      <c r="H2816" s="296" t="s">
        <v>945</v>
      </c>
      <c r="J2816" s="253"/>
      <c r="Q2816" s="253" t="s">
        <v>975</v>
      </c>
      <c r="R2816" s="358" t="s">
        <v>1586</v>
      </c>
      <c r="W2816" s="253"/>
    </row>
    <row r="2817" spans="6:23" ht="20.25" customHeight="1">
      <c r="F2817" s="316">
        <v>1.8225</v>
      </c>
      <c r="G2817" s="252" t="s">
        <v>609</v>
      </c>
      <c r="H2817" s="296" t="s">
        <v>447</v>
      </c>
      <c r="I2817" s="252">
        <f>I954</f>
        <v>1537</v>
      </c>
      <c r="J2817" s="253" t="s">
        <v>609</v>
      </c>
      <c r="K2817" s="252">
        <f t="shared" si="273"/>
        <v>2801.18</v>
      </c>
      <c r="O2817" s="296" t="s">
        <v>2209</v>
      </c>
      <c r="Q2817" s="559" t="s">
        <v>975</v>
      </c>
      <c r="R2817" s="400">
        <v>2.5499999999999998E-2</v>
      </c>
      <c r="W2817" s="253"/>
    </row>
    <row r="2818" spans="6:23" ht="20.25" customHeight="1">
      <c r="F2818" s="252">
        <v>2</v>
      </c>
      <c r="G2818" s="252" t="s">
        <v>769</v>
      </c>
      <c r="H2818" s="296" t="s">
        <v>5878</v>
      </c>
      <c r="I2818" s="362">
        <v>254.5</v>
      </c>
      <c r="J2818" s="253" t="s">
        <v>868</v>
      </c>
      <c r="K2818" s="252">
        <f t="shared" si="273"/>
        <v>509</v>
      </c>
      <c r="O2818" s="296"/>
      <c r="Q2818" s="253" t="s">
        <v>975</v>
      </c>
      <c r="R2818" s="400"/>
      <c r="W2818" s="253"/>
    </row>
    <row r="2819" spans="6:23" ht="20.25" customHeight="1">
      <c r="F2819" s="252">
        <v>3</v>
      </c>
      <c r="G2819" s="252" t="s">
        <v>868</v>
      </c>
      <c r="H2819" s="296" t="s">
        <v>5879</v>
      </c>
      <c r="I2819" s="362">
        <v>214.1</v>
      </c>
      <c r="J2819" s="253" t="s">
        <v>868</v>
      </c>
      <c r="K2819" s="252">
        <f t="shared" si="273"/>
        <v>642.29999999999995</v>
      </c>
      <c r="Q2819" s="253"/>
      <c r="R2819" s="358" t="s">
        <v>1586</v>
      </c>
      <c r="W2819" s="253"/>
    </row>
    <row r="2820" spans="6:23" ht="20.25" customHeight="1">
      <c r="F2820" s="252">
        <v>2</v>
      </c>
      <c r="G2820" s="252" t="s">
        <v>868</v>
      </c>
      <c r="H2820" s="296" t="s">
        <v>5880</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0.25" customHeight="1">
      <c r="F2821" s="252">
        <v>1</v>
      </c>
      <c r="G2821" s="252" t="s">
        <v>868</v>
      </c>
      <c r="H2821" s="296" t="s">
        <v>5881</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0.25"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0.25" customHeight="1">
      <c r="F2823" s="252">
        <v>1</v>
      </c>
      <c r="G2823" s="252" t="s">
        <v>868</v>
      </c>
      <c r="H2823" s="296" t="s">
        <v>5882</v>
      </c>
      <c r="I2823" s="362">
        <v>49.55</v>
      </c>
      <c r="J2823" s="253" t="s">
        <v>868</v>
      </c>
      <c r="K2823" s="252">
        <f t="shared" si="273"/>
        <v>49.55</v>
      </c>
      <c r="M2823" s="316"/>
      <c r="O2823" s="296" t="s">
        <v>2213</v>
      </c>
      <c r="Q2823" s="253"/>
      <c r="W2823" s="253"/>
    </row>
    <row r="2824" spans="6:23" ht="20.25" customHeight="1">
      <c r="F2824" s="252">
        <v>64</v>
      </c>
      <c r="H2824" s="252" t="s">
        <v>3663</v>
      </c>
      <c r="I2824" s="50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0.25"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0.25"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0.25"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0.25" customHeight="1">
      <c r="J2828" s="253"/>
      <c r="M2828" s="252">
        <v>1</v>
      </c>
      <c r="N2828" s="252" t="s">
        <v>868</v>
      </c>
      <c r="O2828" s="296" t="s">
        <v>1466</v>
      </c>
      <c r="P2828" s="252">
        <f t="shared" si="274"/>
        <v>836</v>
      </c>
      <c r="Q2828" s="253" t="s">
        <v>868</v>
      </c>
      <c r="R2828" s="252">
        <f t="shared" si="275"/>
        <v>836</v>
      </c>
      <c r="W2828" s="253"/>
    </row>
    <row r="2829" spans="6:23" ht="20.25"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0.25" customHeight="1">
      <c r="H2830" s="296" t="s">
        <v>256</v>
      </c>
      <c r="J2830" s="253"/>
      <c r="M2830" s="252">
        <v>1</v>
      </c>
      <c r="N2830" s="252" t="s">
        <v>868</v>
      </c>
      <c r="O2830" s="296" t="s">
        <v>1982</v>
      </c>
      <c r="P2830" s="252">
        <f t="shared" si="274"/>
        <v>49.55</v>
      </c>
      <c r="Q2830" s="253" t="s">
        <v>868</v>
      </c>
      <c r="R2830" s="252">
        <f t="shared" si="275"/>
        <v>49.55</v>
      </c>
      <c r="W2830" s="253"/>
    </row>
    <row r="2831" spans="6:23" ht="20.25" customHeight="1">
      <c r="H2831" s="296" t="s">
        <v>1470</v>
      </c>
      <c r="J2831" s="253">
        <f>1.1*2.025</f>
        <v>2.23</v>
      </c>
      <c r="M2831" s="252">
        <v>58</v>
      </c>
      <c r="N2831" s="252" t="s">
        <v>868</v>
      </c>
      <c r="O2831" s="252" t="s">
        <v>1742</v>
      </c>
      <c r="P2831" s="252">
        <f>P1121</f>
        <v>2.41</v>
      </c>
      <c r="Q2831" s="253" t="s">
        <v>868</v>
      </c>
      <c r="R2831" s="252">
        <f>(M2831*P2831)</f>
        <v>139.78</v>
      </c>
      <c r="W2831" s="253"/>
    </row>
    <row r="2832" spans="6:23" ht="20.25" customHeight="1">
      <c r="H2832" s="358" t="s">
        <v>1586</v>
      </c>
      <c r="J2832" s="253"/>
      <c r="O2832" s="296" t="s">
        <v>3395</v>
      </c>
      <c r="Q2832" s="253"/>
      <c r="R2832" s="252">
        <f>SUM(R2820:R2831)</f>
        <v>13477.07</v>
      </c>
      <c r="W2832" s="253"/>
    </row>
    <row r="2833" spans="6:23" ht="20.25" customHeight="1">
      <c r="H2833" s="296" t="s">
        <v>89</v>
      </c>
      <c r="J2833" s="253"/>
      <c r="Q2833" s="253"/>
      <c r="R2833" s="358" t="s">
        <v>1586</v>
      </c>
      <c r="W2833" s="253"/>
    </row>
    <row r="2834" spans="6:23" ht="20.25" customHeight="1">
      <c r="F2834" s="356">
        <v>1.823</v>
      </c>
      <c r="G2834" s="252" t="s">
        <v>609</v>
      </c>
      <c r="H2834" s="389" t="s">
        <v>5883</v>
      </c>
      <c r="I2834" s="527">
        <v>2180</v>
      </c>
      <c r="J2834" s="253" t="s">
        <v>609</v>
      </c>
      <c r="K2834" s="252">
        <f>F2835*I2834</f>
        <v>3974.14</v>
      </c>
      <c r="O2834" s="296" t="s">
        <v>552</v>
      </c>
      <c r="Q2834" s="253"/>
      <c r="R2834" s="252">
        <f>R2832/M2824</f>
        <v>6050.31</v>
      </c>
      <c r="W2834" s="253"/>
    </row>
    <row r="2835" spans="6:23" ht="20.25" customHeight="1">
      <c r="F2835" s="356">
        <v>1.823</v>
      </c>
      <c r="G2835" s="252" t="s">
        <v>609</v>
      </c>
      <c r="H2835" s="534" t="s">
        <v>5338</v>
      </c>
      <c r="I2835" s="252">
        <f>AE52</f>
        <v>0</v>
      </c>
      <c r="J2835" s="253" t="s">
        <v>609</v>
      </c>
      <c r="K2835" s="252">
        <f t="shared" ref="K2835:K2841" si="276">(F2835*I2835)</f>
        <v>0</v>
      </c>
      <c r="W2835" s="253"/>
    </row>
    <row r="2836" spans="6:23" ht="20.25" customHeight="1">
      <c r="F2836" s="252">
        <v>2</v>
      </c>
      <c r="G2836" s="252" t="s">
        <v>769</v>
      </c>
      <c r="H2836" s="296" t="s">
        <v>1463</v>
      </c>
      <c r="I2836" s="252">
        <f t="shared" ref="I2836:I2841" si="277">I990</f>
        <v>57.65</v>
      </c>
      <c r="J2836" s="253" t="s">
        <v>868</v>
      </c>
      <c r="K2836" s="252">
        <f t="shared" si="276"/>
        <v>115.3</v>
      </c>
      <c r="W2836" s="253"/>
    </row>
    <row r="2837" spans="6:23" ht="20.25" customHeight="1">
      <c r="F2837" s="252">
        <v>3</v>
      </c>
      <c r="G2837" s="252" t="s">
        <v>868</v>
      </c>
      <c r="H2837" s="296" t="s">
        <v>1464</v>
      </c>
      <c r="I2837" s="252">
        <f t="shared" si="277"/>
        <v>89.6</v>
      </c>
      <c r="J2837" s="253" t="s">
        <v>868</v>
      </c>
      <c r="K2837" s="252">
        <f t="shared" si="276"/>
        <v>268.8</v>
      </c>
      <c r="W2837" s="253"/>
    </row>
    <row r="2838" spans="6:23" ht="20.25" customHeight="1">
      <c r="F2838" s="252">
        <v>2</v>
      </c>
      <c r="G2838" s="252" t="s">
        <v>868</v>
      </c>
      <c r="H2838" s="296" t="s">
        <v>1465</v>
      </c>
      <c r="I2838" s="252">
        <f t="shared" si="277"/>
        <v>64.8</v>
      </c>
      <c r="J2838" s="253" t="s">
        <v>868</v>
      </c>
      <c r="K2838" s="252">
        <f t="shared" si="276"/>
        <v>129.6</v>
      </c>
      <c r="W2838" s="253"/>
    </row>
    <row r="2839" spans="6:23" ht="20.25" customHeight="1">
      <c r="F2839" s="252">
        <v>1</v>
      </c>
      <c r="G2839" s="252" t="s">
        <v>868</v>
      </c>
      <c r="H2839" s="296" t="s">
        <v>1466</v>
      </c>
      <c r="I2839" s="252">
        <f t="shared" si="277"/>
        <v>181</v>
      </c>
      <c r="J2839" s="253" t="s">
        <v>868</v>
      </c>
      <c r="K2839" s="252">
        <f t="shared" si="276"/>
        <v>181</v>
      </c>
      <c r="W2839" s="253"/>
    </row>
    <row r="2840" spans="6:23" ht="20.25"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0.25"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0.25" customHeight="1">
      <c r="J2842" s="253"/>
      <c r="K2842" s="407">
        <v>0.85</v>
      </c>
      <c r="O2842" s="296" t="s">
        <v>708</v>
      </c>
      <c r="P2842" s="274" t="s">
        <v>3396</v>
      </c>
      <c r="Q2842" s="253"/>
      <c r="W2842" s="253"/>
    </row>
    <row r="2843" spans="6:23" ht="20.25" customHeight="1">
      <c r="H2843" s="296" t="s">
        <v>1221</v>
      </c>
      <c r="J2843" s="253"/>
      <c r="K2843" s="252">
        <f>SUM(K2834:K2842)</f>
        <v>4726.54</v>
      </c>
      <c r="O2843" s="358" t="s">
        <v>1586</v>
      </c>
      <c r="Q2843" s="253"/>
      <c r="W2843" s="253"/>
    </row>
    <row r="2844" spans="6:23" ht="20.25" customHeight="1">
      <c r="J2844" s="253"/>
      <c r="K2844" s="358" t="s">
        <v>1586</v>
      </c>
      <c r="O2844" s="296" t="s">
        <v>3392</v>
      </c>
      <c r="Q2844" s="253"/>
      <c r="W2844" s="253"/>
    </row>
    <row r="2845" spans="6:23" ht="20.25" customHeight="1">
      <c r="H2845" s="296" t="s">
        <v>552</v>
      </c>
      <c r="J2845" s="253"/>
      <c r="K2845" s="252">
        <f>K2843/F2835</f>
        <v>2592.73</v>
      </c>
      <c r="O2845" s="296" t="s">
        <v>3167</v>
      </c>
      <c r="Q2845" s="253"/>
      <c r="W2845" s="253"/>
    </row>
    <row r="2846" spans="6:23" ht="20.25" customHeight="1">
      <c r="F2846" s="296" t="s">
        <v>975</v>
      </c>
      <c r="J2846" s="253"/>
      <c r="Q2846" s="253" t="s">
        <v>1586</v>
      </c>
      <c r="W2846" s="253"/>
    </row>
    <row r="2847" spans="6:23" ht="20.25" customHeight="1">
      <c r="J2847" s="253"/>
      <c r="O2847" s="296" t="s">
        <v>2387</v>
      </c>
      <c r="Q2847" s="253"/>
      <c r="W2847" s="253"/>
    </row>
    <row r="2848" spans="6:23" ht="20.25" customHeight="1">
      <c r="F2848" s="375" t="s">
        <v>880</v>
      </c>
      <c r="H2848" s="296" t="s">
        <v>565</v>
      </c>
      <c r="O2848" s="296" t="s">
        <v>2388</v>
      </c>
      <c r="Q2848" s="253"/>
      <c r="R2848" s="400">
        <v>2.8910000000000002E-2</v>
      </c>
      <c r="W2848" s="253"/>
    </row>
    <row r="2849" spans="6:23" ht="20.25" customHeight="1">
      <c r="H2849" s="358" t="s">
        <v>1586</v>
      </c>
      <c r="I2849" s="358" t="s">
        <v>1586</v>
      </c>
      <c r="J2849" s="296" t="s">
        <v>1586</v>
      </c>
      <c r="Q2849" s="253" t="s">
        <v>975</v>
      </c>
      <c r="R2849" s="358" t="s">
        <v>1586</v>
      </c>
      <c r="W2849" s="253"/>
    </row>
    <row r="2850" spans="6:23" ht="20.25" customHeight="1">
      <c r="O2850" s="296" t="s">
        <v>2389</v>
      </c>
      <c r="Q2850" s="559" t="s">
        <v>975</v>
      </c>
      <c r="R2850" s="400"/>
      <c r="W2850" s="253"/>
    </row>
    <row r="2851" spans="6:23" ht="20.25" customHeight="1">
      <c r="H2851" s="296" t="s">
        <v>2000</v>
      </c>
      <c r="O2851" s="296" t="s">
        <v>3393</v>
      </c>
      <c r="Q2851" s="253" t="s">
        <v>975</v>
      </c>
      <c r="R2851" s="400">
        <v>1.7999999999999999E-2</v>
      </c>
      <c r="W2851" s="253"/>
    </row>
    <row r="2852" spans="6:23" ht="20.25" customHeight="1">
      <c r="H2852" s="296"/>
      <c r="Q2852" s="253"/>
      <c r="R2852" s="358" t="s">
        <v>1586</v>
      </c>
      <c r="W2852" s="253"/>
    </row>
    <row r="2853" spans="6:23" ht="20.25"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0.25"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0.25" customHeight="1">
      <c r="H2855" s="296" t="s">
        <v>455</v>
      </c>
      <c r="M2855" s="400">
        <f>R2851</f>
        <v>1.7999999999999999E-2</v>
      </c>
      <c r="N2855" s="252" t="s">
        <v>869</v>
      </c>
      <c r="O2855" s="296" t="s">
        <v>310</v>
      </c>
      <c r="P2855" s="252">
        <f t="shared" si="278"/>
        <v>95000</v>
      </c>
      <c r="Q2855" s="253" t="s">
        <v>869</v>
      </c>
      <c r="R2855" s="252">
        <f>(M2855*P2855)</f>
        <v>1710</v>
      </c>
      <c r="W2855" s="253"/>
    </row>
    <row r="2856" spans="6:23" ht="20.25" customHeight="1">
      <c r="H2856" s="296" t="s">
        <v>456</v>
      </c>
      <c r="M2856" s="316"/>
      <c r="O2856" s="296" t="s">
        <v>2213</v>
      </c>
      <c r="Q2856" s="253"/>
      <c r="W2856" s="253"/>
    </row>
    <row r="2857" spans="6:23" ht="20.25"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0.25"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20.2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0.25" customHeight="1">
      <c r="H2860" s="296"/>
      <c r="K2860" s="443"/>
      <c r="M2860" s="252">
        <v>2</v>
      </c>
      <c r="N2860" s="252" t="s">
        <v>868</v>
      </c>
      <c r="O2860" s="296" t="s">
        <v>1465</v>
      </c>
      <c r="P2860" s="252">
        <f t="shared" si="278"/>
        <v>408</v>
      </c>
      <c r="Q2860" s="253" t="s">
        <v>868</v>
      </c>
      <c r="R2860" s="252">
        <f t="shared" si="279"/>
        <v>816</v>
      </c>
      <c r="W2860" s="253"/>
    </row>
    <row r="2861" spans="6:23" ht="20.25" customHeight="1">
      <c r="H2861" s="296"/>
      <c r="K2861" s="443"/>
      <c r="M2861" s="252">
        <v>1</v>
      </c>
      <c r="N2861" s="252" t="s">
        <v>868</v>
      </c>
      <c r="O2861" s="296" t="s">
        <v>1466</v>
      </c>
      <c r="P2861" s="252">
        <f t="shared" si="278"/>
        <v>836</v>
      </c>
      <c r="Q2861" s="253" t="s">
        <v>868</v>
      </c>
      <c r="R2861" s="252">
        <f t="shared" si="279"/>
        <v>836</v>
      </c>
      <c r="W2861" s="253"/>
    </row>
    <row r="2862" spans="6:23" ht="20.25" customHeight="1">
      <c r="M2862" s="252">
        <v>1</v>
      </c>
      <c r="N2862" s="252" t="s">
        <v>868</v>
      </c>
      <c r="O2862" s="296" t="s">
        <v>1467</v>
      </c>
      <c r="P2862" s="252">
        <f t="shared" si="278"/>
        <v>7.3</v>
      </c>
      <c r="Q2862" s="253" t="s">
        <v>868</v>
      </c>
      <c r="R2862" s="252">
        <f t="shared" si="279"/>
        <v>7.3</v>
      </c>
      <c r="W2862" s="253"/>
    </row>
    <row r="2863" spans="6:23" ht="20.25"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0.25"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0.25"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0.25" customHeight="1">
      <c r="F2866" s="400">
        <v>2.0499999999999998</v>
      </c>
      <c r="G2866" s="252" t="s">
        <v>609</v>
      </c>
      <c r="H2866" s="296" t="s">
        <v>1627</v>
      </c>
      <c r="I2866" s="362">
        <v>840</v>
      </c>
      <c r="J2866" s="296" t="s">
        <v>609</v>
      </c>
      <c r="K2866" s="252">
        <f t="shared" si="280"/>
        <v>1722</v>
      </c>
      <c r="Q2866" s="253"/>
      <c r="R2866" s="358" t="s">
        <v>1586</v>
      </c>
      <c r="W2866" s="253"/>
    </row>
    <row r="2867" spans="6:23" ht="20.25" customHeight="1">
      <c r="F2867" s="400">
        <v>2.0499999999999998</v>
      </c>
      <c r="G2867" s="252" t="s">
        <v>609</v>
      </c>
      <c r="H2867" s="564" t="s">
        <v>5339</v>
      </c>
      <c r="I2867" s="252">
        <f>AE53</f>
        <v>0</v>
      </c>
      <c r="J2867" s="296" t="s">
        <v>609</v>
      </c>
      <c r="K2867" s="252">
        <f t="shared" si="280"/>
        <v>0</v>
      </c>
      <c r="O2867" s="296" t="s">
        <v>552</v>
      </c>
      <c r="Q2867" s="253"/>
      <c r="R2867" s="252">
        <f>R2865/M2857</f>
        <v>5747.88</v>
      </c>
      <c r="W2867" s="253"/>
    </row>
    <row r="2868" spans="6:23" ht="20.25" customHeight="1">
      <c r="F2868" s="252">
        <v>2</v>
      </c>
      <c r="G2868" s="252" t="s">
        <v>868</v>
      </c>
      <c r="H2868" s="296" t="s">
        <v>1389</v>
      </c>
      <c r="I2868" s="252">
        <f>E285</f>
        <v>57</v>
      </c>
      <c r="J2868" s="296" t="s">
        <v>868</v>
      </c>
      <c r="K2868" s="252">
        <f t="shared" si="280"/>
        <v>114</v>
      </c>
      <c r="W2868" s="253"/>
    </row>
    <row r="2869" spans="6:23" ht="20.25" customHeight="1">
      <c r="F2869" s="252">
        <v>8</v>
      </c>
      <c r="G2869" s="252" t="s">
        <v>868</v>
      </c>
      <c r="H2869" s="296" t="s">
        <v>1343</v>
      </c>
      <c r="I2869" s="252">
        <f>C282</f>
        <v>49.35</v>
      </c>
      <c r="J2869" s="296" t="s">
        <v>868</v>
      </c>
      <c r="K2869" s="252">
        <f t="shared" si="280"/>
        <v>394.8</v>
      </c>
      <c r="W2869" s="253"/>
    </row>
    <row r="2870" spans="6:23" ht="20.25" customHeight="1">
      <c r="F2870" s="252">
        <v>2</v>
      </c>
      <c r="G2870" s="252" t="s">
        <v>868</v>
      </c>
      <c r="H2870" s="296" t="s">
        <v>1390</v>
      </c>
      <c r="I2870" s="252">
        <f>I1134</f>
        <v>60.9</v>
      </c>
      <c r="J2870" s="296" t="s">
        <v>868</v>
      </c>
      <c r="K2870" s="252">
        <f t="shared" si="280"/>
        <v>121.8</v>
      </c>
      <c r="W2870" s="253"/>
    </row>
    <row r="2871" spans="6:23" ht="20.25" customHeight="1">
      <c r="F2871" s="252">
        <v>1</v>
      </c>
      <c r="G2871" s="252" t="s">
        <v>868</v>
      </c>
      <c r="H2871" s="296" t="s">
        <v>4269</v>
      </c>
      <c r="I2871" s="368">
        <f>I1135</f>
        <v>63.2</v>
      </c>
      <c r="J2871" s="296" t="s">
        <v>868</v>
      </c>
      <c r="K2871" s="252">
        <f t="shared" si="280"/>
        <v>63.2</v>
      </c>
      <c r="W2871" s="253"/>
    </row>
    <row r="2872" spans="6:23" ht="20.25" customHeight="1">
      <c r="F2872" s="356">
        <v>0.94499999999999995</v>
      </c>
      <c r="G2872" s="252" t="s">
        <v>609</v>
      </c>
      <c r="H2872" s="296" t="s">
        <v>1713</v>
      </c>
      <c r="I2872" s="252">
        <f>K1167</f>
        <v>194.22</v>
      </c>
      <c r="J2872" s="296" t="s">
        <v>609</v>
      </c>
      <c r="K2872" s="252">
        <f t="shared" si="280"/>
        <v>183.54</v>
      </c>
      <c r="W2872" s="253"/>
    </row>
    <row r="2873" spans="6:23" ht="20.25" customHeight="1">
      <c r="H2873" s="296" t="s">
        <v>1414</v>
      </c>
      <c r="I2873" s="253" t="s">
        <v>449</v>
      </c>
      <c r="K2873" s="252">
        <v>0.6</v>
      </c>
      <c r="W2873" s="253"/>
    </row>
    <row r="2874" spans="6:23" ht="20.25" customHeight="1">
      <c r="H2874" s="274"/>
      <c r="I2874" s="274"/>
      <c r="J2874" s="276"/>
      <c r="K2874" s="388" t="s">
        <v>1586</v>
      </c>
      <c r="W2874" s="253"/>
    </row>
    <row r="2875" spans="6:23" ht="20.25" customHeight="1">
      <c r="H2875" s="255" t="s">
        <v>1415</v>
      </c>
      <c r="I2875" s="274"/>
      <c r="J2875" s="276"/>
      <c r="K2875" s="274">
        <f>SUM(K2863:K2873)</f>
        <v>4841.72</v>
      </c>
      <c r="W2875" s="253"/>
    </row>
    <row r="2876" spans="6:23" ht="20.25" customHeight="1">
      <c r="G2876" s="252" t="s">
        <v>975</v>
      </c>
      <c r="H2876" s="274"/>
      <c r="I2876" s="274"/>
      <c r="J2876" s="276"/>
      <c r="K2876" s="388" t="s">
        <v>1586</v>
      </c>
      <c r="W2876" s="253"/>
    </row>
    <row r="2877" spans="6:23" ht="20.25" customHeight="1">
      <c r="H2877" s="255" t="s">
        <v>552</v>
      </c>
      <c r="I2877" s="274"/>
      <c r="J2877" s="276"/>
      <c r="K2877" s="274">
        <f>K2875/2.52</f>
        <v>1921.32</v>
      </c>
      <c r="W2877" s="253"/>
    </row>
    <row r="2878" spans="6:23" ht="20.25" customHeight="1">
      <c r="H2878" s="274"/>
      <c r="I2878" s="274"/>
      <c r="J2878" s="276"/>
      <c r="K2878" s="388" t="s">
        <v>2055</v>
      </c>
      <c r="W2878" s="253"/>
    </row>
    <row r="2879" spans="6:23" ht="20.25" customHeight="1">
      <c r="J2879" s="253"/>
      <c r="W2879" s="253"/>
    </row>
    <row r="2880" spans="6:23" ht="20.25" customHeight="1">
      <c r="H2880" s="252" t="s">
        <v>1628</v>
      </c>
      <c r="J2880" s="253"/>
      <c r="W2880" s="253"/>
    </row>
    <row r="2881" spans="6:23" ht="20.25" customHeight="1">
      <c r="H2881" s="252" t="s">
        <v>1329</v>
      </c>
      <c r="J2881" s="253"/>
      <c r="W2881" s="253"/>
    </row>
    <row r="2882" spans="6:23" ht="20.25" customHeight="1">
      <c r="J2882" s="253"/>
      <c r="W2882" s="253"/>
    </row>
    <row r="2883" spans="6:23" ht="20.25" customHeight="1">
      <c r="F2883" s="252">
        <v>2</v>
      </c>
      <c r="G2883" s="252" t="s">
        <v>826</v>
      </c>
      <c r="H2883" s="252" t="s">
        <v>5340</v>
      </c>
      <c r="I2883" s="314">
        <v>96.6</v>
      </c>
      <c r="J2883" s="253" t="s">
        <v>826</v>
      </c>
      <c r="K2883" s="252">
        <f>F2883*I2883</f>
        <v>193.2</v>
      </c>
      <c r="W2883" s="253"/>
    </row>
    <row r="2884" spans="6:23" ht="20.25" customHeight="1">
      <c r="F2884" s="252">
        <v>1</v>
      </c>
      <c r="G2884" s="252" t="s">
        <v>560</v>
      </c>
      <c r="H2884" s="252" t="s">
        <v>1330</v>
      </c>
      <c r="I2884" s="252">
        <f>C625</f>
        <v>34.299999999999997</v>
      </c>
      <c r="J2884" s="253" t="s">
        <v>1398</v>
      </c>
      <c r="K2884" s="252">
        <f>F2884*I2884</f>
        <v>34.299999999999997</v>
      </c>
      <c r="W2884" s="253"/>
    </row>
    <row r="2885" spans="6:23" ht="20.25" customHeight="1">
      <c r="H2885" s="252" t="s">
        <v>1346</v>
      </c>
      <c r="J2885" s="253" t="s">
        <v>449</v>
      </c>
      <c r="K2885" s="252">
        <v>1.4</v>
      </c>
      <c r="W2885" s="253"/>
    </row>
    <row r="2886" spans="6:23" ht="20.25" customHeight="1">
      <c r="H2886" s="407" t="s">
        <v>1347</v>
      </c>
      <c r="J2886" s="253"/>
      <c r="K2886" s="252">
        <f>SUM(K2883:K2885)</f>
        <v>228.9</v>
      </c>
      <c r="W2886" s="253"/>
    </row>
    <row r="2887" spans="6:23" ht="20.25" customHeight="1">
      <c r="J2887" s="253"/>
      <c r="W2887" s="253"/>
    </row>
    <row r="2888" spans="6:23" ht="20.25" customHeight="1">
      <c r="H2888" s="360" t="s">
        <v>1709</v>
      </c>
      <c r="I2888" s="274"/>
      <c r="J2888" s="255"/>
      <c r="K2888" s="274">
        <f>K2886/2</f>
        <v>114.45</v>
      </c>
      <c r="W2888" s="253"/>
    </row>
    <row r="2889" spans="6:23" ht="20.25" customHeight="1">
      <c r="J2889" s="253"/>
      <c r="W2889" s="253"/>
    </row>
    <row r="2890" spans="6:23" ht="20.25" customHeight="1">
      <c r="J2890" s="253"/>
      <c r="W2890" s="253"/>
    </row>
    <row r="2891" spans="6:23" ht="20.25" customHeight="1">
      <c r="J2891" s="253"/>
      <c r="W2891" s="253"/>
    </row>
    <row r="2892" spans="6:23" ht="20.25" customHeight="1">
      <c r="J2892" s="253"/>
      <c r="W2892" s="253"/>
    </row>
    <row r="2893" spans="6:23" ht="20.25" customHeight="1">
      <c r="H2893" s="528" t="s">
        <v>1154</v>
      </c>
      <c r="J2893" s="253"/>
      <c r="W2893" s="253"/>
    </row>
    <row r="2894" spans="6:23" ht="20.25" customHeight="1">
      <c r="F2894" s="253"/>
      <c r="G2894" s="252" t="s">
        <v>2251</v>
      </c>
      <c r="H2894" s="296" t="s">
        <v>1666</v>
      </c>
      <c r="J2894" s="253"/>
      <c r="W2894" s="253"/>
    </row>
    <row r="2895" spans="6:23" ht="20.25" customHeight="1">
      <c r="H2895" s="296" t="s">
        <v>2269</v>
      </c>
      <c r="J2895" s="253"/>
      <c r="W2895" s="253"/>
    </row>
    <row r="2896" spans="6:23" ht="20.25" customHeight="1">
      <c r="H2896" s="358" t="s">
        <v>1586</v>
      </c>
      <c r="J2896" s="253"/>
      <c r="W2896" s="253"/>
    </row>
    <row r="2897" spans="6:23" ht="20.25" customHeight="1">
      <c r="F2897" s="252">
        <v>9</v>
      </c>
      <c r="G2897" s="252" t="s">
        <v>869</v>
      </c>
      <c r="H2897" s="296" t="s">
        <v>1670</v>
      </c>
      <c r="I2897" s="252">
        <f t="shared" ref="I2897:I2902" si="281">I503</f>
        <v>1092.6099999999999</v>
      </c>
      <c r="J2897" s="253" t="s">
        <v>869</v>
      </c>
      <c r="K2897" s="252">
        <f t="shared" ref="K2897:K2902" si="282">(F2897*I2897)</f>
        <v>9833.49</v>
      </c>
      <c r="W2897" s="253"/>
    </row>
    <row r="2898" spans="6:23" ht="20.25" customHeight="1">
      <c r="F2898" s="356">
        <v>3.2309999999999999</v>
      </c>
      <c r="G2898" s="252" t="s">
        <v>861</v>
      </c>
      <c r="H2898" s="296" t="s">
        <v>862</v>
      </c>
      <c r="I2898" s="252">
        <f t="shared" si="281"/>
        <v>6040</v>
      </c>
      <c r="J2898" s="253" t="s">
        <v>861</v>
      </c>
      <c r="K2898" s="252">
        <f t="shared" si="282"/>
        <v>19515.240000000002</v>
      </c>
      <c r="W2898" s="253"/>
    </row>
    <row r="2899" spans="6:23" ht="20.25" customHeight="1">
      <c r="F2899" s="252">
        <v>4.5</v>
      </c>
      <c r="G2899" s="252" t="s">
        <v>869</v>
      </c>
      <c r="H2899" s="296" t="s">
        <v>870</v>
      </c>
      <c r="I2899" s="252">
        <f t="shared" si="281"/>
        <v>1741.58</v>
      </c>
      <c r="J2899" s="253" t="s">
        <v>869</v>
      </c>
      <c r="K2899" s="252">
        <f t="shared" si="282"/>
        <v>7837.11</v>
      </c>
      <c r="W2899" s="253"/>
    </row>
    <row r="2900" spans="6:23" ht="20.25" customHeight="1">
      <c r="F2900" s="252">
        <v>3.5</v>
      </c>
      <c r="G2900" s="252" t="s">
        <v>868</v>
      </c>
      <c r="H2900" s="296" t="s">
        <v>1712</v>
      </c>
      <c r="I2900" s="252">
        <f t="shared" si="281"/>
        <v>932</v>
      </c>
      <c r="J2900" s="253" t="s">
        <v>868</v>
      </c>
      <c r="K2900" s="252">
        <f t="shared" si="282"/>
        <v>3262</v>
      </c>
      <c r="W2900" s="253"/>
    </row>
    <row r="2901" spans="6:23" ht="20.25" customHeight="1">
      <c r="F2901" s="252">
        <v>21.2</v>
      </c>
      <c r="G2901" s="252" t="s">
        <v>868</v>
      </c>
      <c r="H2901" s="296" t="s">
        <v>1902</v>
      </c>
      <c r="I2901" s="252">
        <f t="shared" si="281"/>
        <v>651</v>
      </c>
      <c r="J2901" s="253" t="s">
        <v>868</v>
      </c>
      <c r="K2901" s="252">
        <f t="shared" si="282"/>
        <v>13801.2</v>
      </c>
      <c r="W2901" s="253"/>
    </row>
    <row r="2902" spans="6:23" ht="20.25" customHeight="1">
      <c r="F2902" s="252">
        <v>35.299999999999997</v>
      </c>
      <c r="G2902" s="252" t="s">
        <v>868</v>
      </c>
      <c r="H2902" s="296" t="s">
        <v>320</v>
      </c>
      <c r="I2902" s="252">
        <f t="shared" si="281"/>
        <v>534</v>
      </c>
      <c r="J2902" s="253" t="s">
        <v>868</v>
      </c>
      <c r="K2902" s="252">
        <f t="shared" si="282"/>
        <v>18850.2</v>
      </c>
      <c r="W2902" s="253"/>
    </row>
    <row r="2903" spans="6:23" ht="20.25" customHeight="1">
      <c r="G2903" s="252" t="s">
        <v>449</v>
      </c>
      <c r="H2903" s="296" t="s">
        <v>450</v>
      </c>
      <c r="I2903" s="296" t="s">
        <v>975</v>
      </c>
      <c r="J2903" s="253" t="s">
        <v>449</v>
      </c>
      <c r="K2903" s="252">
        <v>0</v>
      </c>
      <c r="W2903" s="253"/>
    </row>
    <row r="2904" spans="6:23" ht="20.25" customHeight="1">
      <c r="J2904" s="253"/>
      <c r="K2904" s="358" t="s">
        <v>1586</v>
      </c>
      <c r="W2904" s="253"/>
    </row>
    <row r="2905" spans="6:23" ht="20.25" customHeight="1">
      <c r="H2905" s="296" t="s">
        <v>2171</v>
      </c>
      <c r="J2905" s="253"/>
      <c r="K2905" s="252">
        <f>SUM(K2897:K2903)</f>
        <v>73099.240000000005</v>
      </c>
      <c r="W2905" s="253"/>
    </row>
    <row r="2906" spans="6:23" ht="20.25" customHeight="1">
      <c r="J2906" s="253"/>
      <c r="K2906" s="358" t="s">
        <v>1586</v>
      </c>
      <c r="W2906" s="253"/>
    </row>
    <row r="2907" spans="6:23" ht="20.25" customHeight="1">
      <c r="H2907" s="296" t="s">
        <v>773</v>
      </c>
      <c r="J2907" s="253"/>
      <c r="K2907" s="252">
        <f>(K2905/10)</f>
        <v>7309.92</v>
      </c>
      <c r="W2907" s="253"/>
    </row>
    <row r="2908" spans="6:23" ht="20.25" customHeight="1">
      <c r="J2908" s="253"/>
      <c r="W2908" s="253"/>
    </row>
    <row r="2909" spans="6:23" ht="20.25" customHeight="1">
      <c r="F2909" s="252">
        <v>1</v>
      </c>
      <c r="G2909" s="252" t="s">
        <v>869</v>
      </c>
      <c r="H2909" s="296" t="s">
        <v>44</v>
      </c>
      <c r="J2909" s="253"/>
      <c r="W2909" s="253"/>
    </row>
    <row r="2910" spans="6:23" ht="20.25" customHeight="1">
      <c r="J2910" s="253"/>
      <c r="K2910" s="358" t="s">
        <v>1586</v>
      </c>
      <c r="W2910" s="253"/>
    </row>
    <row r="2911" spans="6:23" ht="20.25" customHeight="1">
      <c r="H2911" s="296" t="s">
        <v>1300</v>
      </c>
      <c r="J2911" s="253"/>
      <c r="K2911" s="252">
        <f>SUM(K2907:K2909)</f>
        <v>7309.92</v>
      </c>
      <c r="W2911" s="253"/>
    </row>
    <row r="2912" spans="6:23" ht="20.25" customHeight="1">
      <c r="J2912" s="253"/>
      <c r="K2912" s="358" t="s">
        <v>1586</v>
      </c>
      <c r="W2912" s="253"/>
    </row>
    <row r="2913" spans="6:23" ht="20.25" customHeight="1">
      <c r="G2913" s="252" t="s">
        <v>1243</v>
      </c>
      <c r="H2913" s="296" t="s">
        <v>386</v>
      </c>
      <c r="J2913" s="253"/>
      <c r="K2913" s="252">
        <f>K2911+C22</f>
        <v>7429.77</v>
      </c>
      <c r="W2913" s="253"/>
    </row>
    <row r="2914" spans="6:23" ht="20.25" customHeight="1">
      <c r="G2914" s="252" t="s">
        <v>1245</v>
      </c>
      <c r="H2914" s="296" t="s">
        <v>388</v>
      </c>
      <c r="J2914" s="253"/>
      <c r="K2914" s="252">
        <f>K2913+C23</f>
        <v>7665.87</v>
      </c>
      <c r="W2914" s="253"/>
    </row>
    <row r="2915" spans="6:23" ht="20.25" customHeight="1">
      <c r="G2915" s="252" t="s">
        <v>426</v>
      </c>
      <c r="H2915" s="296" t="s">
        <v>2232</v>
      </c>
      <c r="J2915" s="253"/>
      <c r="K2915" s="252">
        <f>K2914+C23</f>
        <v>7901.97</v>
      </c>
      <c r="W2915" s="253"/>
    </row>
    <row r="2916" spans="6:23" ht="20.25" customHeight="1">
      <c r="G2916" s="252" t="s">
        <v>994</v>
      </c>
      <c r="H2916" s="296" t="s">
        <v>380</v>
      </c>
      <c r="J2916" s="253"/>
      <c r="K2916" s="252">
        <f>K2915+C23</f>
        <v>8138.07</v>
      </c>
      <c r="W2916" s="253"/>
    </row>
    <row r="2917" spans="6:23" ht="20.25" customHeight="1">
      <c r="J2917" s="253"/>
      <c r="W2917" s="253"/>
    </row>
    <row r="2918" spans="6:23" ht="20.25" customHeight="1">
      <c r="G2918" s="360"/>
      <c r="H2918" s="528"/>
      <c r="W2918" s="253"/>
    </row>
    <row r="2919" spans="6:23" ht="20.25" customHeight="1">
      <c r="H2919" s="274" t="s">
        <v>2234</v>
      </c>
      <c r="W2919" s="253"/>
    </row>
    <row r="2920" spans="6:23" ht="20.25" customHeight="1">
      <c r="W2920" s="253"/>
    </row>
    <row r="2921" spans="6:23" ht="20.25" customHeight="1">
      <c r="F2921" s="316"/>
      <c r="H2921" s="252" t="s">
        <v>6136</v>
      </c>
      <c r="J2921" s="252"/>
      <c r="W2921" s="253"/>
    </row>
    <row r="2922" spans="6:23" ht="20.25" customHeight="1">
      <c r="F2922" s="356"/>
      <c r="H2922" s="252" t="s">
        <v>630</v>
      </c>
      <c r="J2922" s="252"/>
      <c r="W2922" s="253"/>
    </row>
    <row r="2923" spans="6:23" ht="20.25" customHeight="1">
      <c r="H2923" s="296" t="s">
        <v>1678</v>
      </c>
      <c r="J2923" s="407"/>
      <c r="P2923" s="252">
        <f>0.35*4</f>
        <v>1.4</v>
      </c>
      <c r="W2923" s="253"/>
    </row>
    <row r="2924" spans="6:23" ht="20.25" customHeight="1">
      <c r="H2924" s="255" t="s">
        <v>1679</v>
      </c>
      <c r="I2924" s="274"/>
      <c r="J2924" s="360"/>
      <c r="K2924" s="274"/>
      <c r="P2924" s="252">
        <f>0.3*4</f>
        <v>1.2</v>
      </c>
      <c r="W2924" s="253"/>
    </row>
    <row r="2925" spans="6:23" ht="20.25" customHeight="1">
      <c r="H2925" s="252" t="s">
        <v>6137</v>
      </c>
      <c r="P2925" s="252">
        <f>1.28*2</f>
        <v>2.56</v>
      </c>
      <c r="W2925" s="253"/>
    </row>
    <row r="2926" spans="6:23" ht="20.25" customHeight="1">
      <c r="H2926" s="274" t="s">
        <v>202</v>
      </c>
      <c r="P2926" s="252" t="s">
        <v>3093</v>
      </c>
      <c r="W2926" s="253"/>
    </row>
    <row r="2927" spans="6:23" ht="20.25" customHeight="1">
      <c r="F2927" s="316">
        <v>3.5999999999999997E-2</v>
      </c>
      <c r="G2927" s="252" t="s">
        <v>2151</v>
      </c>
      <c r="H2927" s="252" t="s">
        <v>1680</v>
      </c>
      <c r="I2927" s="252">
        <f>K2913</f>
        <v>7429.77</v>
      </c>
      <c r="J2927" s="252" t="s">
        <v>2151</v>
      </c>
      <c r="K2927" s="252">
        <f>F2927*I2927</f>
        <v>267.47000000000003</v>
      </c>
      <c r="W2927" s="253"/>
    </row>
    <row r="2928" spans="6:23" ht="20.25" customHeight="1">
      <c r="F2928" s="356">
        <v>3.0649999999999999</v>
      </c>
      <c r="G2928" s="252" t="s">
        <v>913</v>
      </c>
      <c r="H2928" s="262" t="s">
        <v>1681</v>
      </c>
      <c r="I2928" s="252">
        <f>K1582/1000</f>
        <v>90.88</v>
      </c>
      <c r="J2928" s="252" t="s">
        <v>913</v>
      </c>
      <c r="K2928" s="252">
        <f>F2928*I2928</f>
        <v>278.55</v>
      </c>
      <c r="W2928" s="253"/>
    </row>
    <row r="2929" spans="6:23" ht="20.25" customHeight="1">
      <c r="F2929" s="356">
        <v>0.79800000000000004</v>
      </c>
      <c r="G2929" s="252" t="s">
        <v>233</v>
      </c>
      <c r="H2929" s="252" t="s">
        <v>1429</v>
      </c>
      <c r="I2929" s="252">
        <f>I2358</f>
        <v>1135.94</v>
      </c>
      <c r="J2929" s="252" t="s">
        <v>233</v>
      </c>
      <c r="K2929" s="252">
        <f>F2929*I2929</f>
        <v>906.48</v>
      </c>
      <c r="W2929" s="253"/>
    </row>
    <row r="2930" spans="6:23" ht="20.25" customHeight="1">
      <c r="H2930" s="360" t="s">
        <v>1430</v>
      </c>
      <c r="I2930" s="274"/>
      <c r="J2930" s="360" t="s">
        <v>721</v>
      </c>
      <c r="K2930" s="274">
        <f>SUM(K2927:K2929)</f>
        <v>1452.5</v>
      </c>
      <c r="W2930" s="253"/>
    </row>
    <row r="2931" spans="6:23" ht="20.25" customHeight="1">
      <c r="F2931" s="316"/>
      <c r="H2931" s="360" t="s">
        <v>1824</v>
      </c>
      <c r="J2931" s="360" t="s">
        <v>721</v>
      </c>
      <c r="K2931" s="274">
        <f>K2930/2.1</f>
        <v>691.67</v>
      </c>
      <c r="W2931" s="253"/>
    </row>
    <row r="2932" spans="6:23" ht="20.25" customHeight="1">
      <c r="F2932" s="356"/>
      <c r="J2932" s="252"/>
      <c r="W2932" s="253"/>
    </row>
    <row r="2933" spans="6:23" ht="20.25" customHeight="1">
      <c r="H2933" s="407"/>
      <c r="J2933" s="407"/>
      <c r="W2933" s="253"/>
    </row>
    <row r="2934" spans="6:23" ht="20.25" customHeight="1">
      <c r="H2934" s="360"/>
      <c r="I2934" s="274"/>
      <c r="J2934" s="360"/>
      <c r="K2934" s="274"/>
      <c r="W2934" s="253"/>
    </row>
    <row r="2935" spans="6:23" ht="20.25" customHeight="1">
      <c r="H2935" s="274" t="s">
        <v>203</v>
      </c>
      <c r="W2935" s="253"/>
    </row>
    <row r="2936" spans="6:23" ht="20.25" customHeight="1">
      <c r="F2936" s="316">
        <v>3.5999999999999997E-2</v>
      </c>
      <c r="G2936" s="252" t="s">
        <v>2151</v>
      </c>
      <c r="H2936" s="252" t="s">
        <v>1680</v>
      </c>
      <c r="I2936" s="252">
        <f>K2914</f>
        <v>7665.87</v>
      </c>
      <c r="J2936" s="252" t="s">
        <v>2151</v>
      </c>
      <c r="K2936" s="252">
        <f>F2936*I2936</f>
        <v>275.97000000000003</v>
      </c>
      <c r="W2936" s="253"/>
    </row>
    <row r="2937" spans="6:23" ht="20.25" customHeight="1">
      <c r="F2937" s="356">
        <v>3.0649999999999999</v>
      </c>
      <c r="G2937" s="252" t="s">
        <v>913</v>
      </c>
      <c r="H2937" s="262" t="s">
        <v>1681</v>
      </c>
      <c r="I2937" s="252">
        <f>K1582/1000</f>
        <v>90.88</v>
      </c>
      <c r="J2937" s="252" t="s">
        <v>913</v>
      </c>
      <c r="K2937" s="252">
        <f>F2937*I2937</f>
        <v>278.55</v>
      </c>
      <c r="W2937" s="253"/>
    </row>
    <row r="2938" spans="6:23" ht="20.25" customHeight="1">
      <c r="F2938" s="356">
        <v>0.79800000000000004</v>
      </c>
      <c r="G2938" s="252" t="s">
        <v>233</v>
      </c>
      <c r="H2938" s="252" t="s">
        <v>1429</v>
      </c>
      <c r="I2938" s="252">
        <f>I2358</f>
        <v>1135.94</v>
      </c>
      <c r="J2938" s="252" t="s">
        <v>233</v>
      </c>
      <c r="K2938" s="252">
        <f>F2938*I2938</f>
        <v>906.48</v>
      </c>
      <c r="W2938" s="253"/>
    </row>
    <row r="2939" spans="6:23" ht="20.25" customHeight="1">
      <c r="H2939" s="360" t="s">
        <v>1430</v>
      </c>
      <c r="I2939" s="274"/>
      <c r="J2939" s="360" t="s">
        <v>721</v>
      </c>
      <c r="K2939" s="274">
        <f>SUM(K2936:K2938)</f>
        <v>1461</v>
      </c>
      <c r="W2939" s="253"/>
    </row>
    <row r="2940" spans="6:23" ht="20.25" customHeight="1">
      <c r="F2940" s="316"/>
      <c r="H2940" s="360" t="s">
        <v>1824</v>
      </c>
      <c r="J2940" s="360" t="s">
        <v>721</v>
      </c>
      <c r="K2940" s="274">
        <f>K2939/2.1</f>
        <v>695.71</v>
      </c>
      <c r="W2940" s="253"/>
    </row>
    <row r="2941" spans="6:23" ht="20.25" customHeight="1">
      <c r="F2941" s="356"/>
      <c r="J2941" s="252"/>
      <c r="W2941" s="253"/>
    </row>
    <row r="2942" spans="6:23" ht="20.25" customHeight="1">
      <c r="W2942" s="253"/>
    </row>
    <row r="2943" spans="6:23" ht="20.25" customHeight="1">
      <c r="W2943" s="253"/>
    </row>
    <row r="2944" spans="6:23" ht="20.25" customHeight="1">
      <c r="W2944" s="253"/>
    </row>
    <row r="2945" spans="6:23" ht="20.25" customHeight="1">
      <c r="H2945" s="274" t="s">
        <v>1604</v>
      </c>
      <c r="W2945" s="253"/>
    </row>
    <row r="2946" spans="6:23" ht="20.25" customHeight="1">
      <c r="F2946" s="316">
        <v>3.5999999999999997E-2</v>
      </c>
      <c r="G2946" s="252" t="s">
        <v>2151</v>
      </c>
      <c r="H2946" s="252" t="s">
        <v>1680</v>
      </c>
      <c r="I2946" s="252">
        <f>K2915</f>
        <v>7901.97</v>
      </c>
      <c r="J2946" s="252" t="s">
        <v>2151</v>
      </c>
      <c r="K2946" s="252">
        <f>F2946*I2946</f>
        <v>284.47000000000003</v>
      </c>
      <c r="W2946" s="253"/>
    </row>
    <row r="2947" spans="6:23" ht="20.25" customHeight="1">
      <c r="F2947" s="356">
        <v>3.0649999999999999</v>
      </c>
      <c r="G2947" s="252" t="s">
        <v>913</v>
      </c>
      <c r="H2947" s="262" t="s">
        <v>1681</v>
      </c>
      <c r="I2947" s="252">
        <f>I2928</f>
        <v>90.88</v>
      </c>
      <c r="J2947" s="252" t="s">
        <v>913</v>
      </c>
      <c r="K2947" s="252">
        <f>F2947*I2947</f>
        <v>278.55</v>
      </c>
      <c r="W2947" s="253"/>
    </row>
    <row r="2948" spans="6:23" ht="20.25" customHeight="1">
      <c r="F2948" s="356">
        <v>0.79800000000000004</v>
      </c>
      <c r="G2948" s="252" t="s">
        <v>233</v>
      </c>
      <c r="H2948" s="252" t="s">
        <v>1429</v>
      </c>
      <c r="I2948" s="252">
        <f>I2929</f>
        <v>1135.94</v>
      </c>
      <c r="J2948" s="252" t="s">
        <v>233</v>
      </c>
      <c r="K2948" s="252">
        <f>F2948*I2948</f>
        <v>906.48</v>
      </c>
      <c r="W2948" s="253"/>
    </row>
    <row r="2949" spans="6:23" ht="20.25" customHeight="1">
      <c r="H2949" s="360" t="s">
        <v>1430</v>
      </c>
      <c r="I2949" s="274"/>
      <c r="J2949" s="360" t="s">
        <v>721</v>
      </c>
      <c r="K2949" s="274">
        <f>SUM(K2946:K2948)</f>
        <v>1469.5</v>
      </c>
      <c r="W2949" s="253"/>
    </row>
    <row r="2950" spans="6:23" ht="20.25" customHeight="1">
      <c r="F2950" s="316"/>
      <c r="H2950" s="360" t="s">
        <v>1824</v>
      </c>
      <c r="J2950" s="360" t="s">
        <v>721</v>
      </c>
      <c r="K2950" s="274">
        <f>K2949/2.1</f>
        <v>699.76</v>
      </c>
      <c r="W2950" s="253"/>
    </row>
    <row r="2951" spans="6:23" ht="20.25" customHeight="1">
      <c r="F2951" s="356"/>
      <c r="J2951" s="252"/>
      <c r="W2951" s="253"/>
    </row>
    <row r="2952" spans="6:23" ht="20.25" customHeight="1">
      <c r="W2952" s="253"/>
    </row>
    <row r="2953" spans="6:23" ht="20.25" customHeight="1">
      <c r="W2953" s="253"/>
    </row>
    <row r="2954" spans="6:23" ht="20.25" customHeight="1">
      <c r="H2954" s="274" t="s">
        <v>63</v>
      </c>
      <c r="W2954" s="253"/>
    </row>
    <row r="2955" spans="6:23" ht="20.25" customHeight="1">
      <c r="F2955" s="316">
        <v>3.5999999999999997E-2</v>
      </c>
      <c r="G2955" s="252" t="s">
        <v>2151</v>
      </c>
      <c r="H2955" s="252" t="s">
        <v>1680</v>
      </c>
      <c r="I2955" s="252">
        <f>K2916</f>
        <v>8138.07</v>
      </c>
      <c r="J2955" s="252" t="s">
        <v>2151</v>
      </c>
      <c r="K2955" s="252">
        <f>F2955*I2955</f>
        <v>292.97000000000003</v>
      </c>
      <c r="W2955" s="253"/>
    </row>
    <row r="2956" spans="6:23" ht="20.25" customHeight="1">
      <c r="F2956" s="356">
        <v>3.0649999999999999</v>
      </c>
      <c r="G2956" s="252" t="s">
        <v>913</v>
      </c>
      <c r="H2956" s="262" t="s">
        <v>1681</v>
      </c>
      <c r="I2956" s="252">
        <f>I2947</f>
        <v>90.88</v>
      </c>
      <c r="J2956" s="252" t="s">
        <v>913</v>
      </c>
      <c r="K2956" s="252">
        <f>F2956*I2956</f>
        <v>278.55</v>
      </c>
      <c r="W2956" s="253"/>
    </row>
    <row r="2957" spans="6:23" ht="20.25" customHeight="1">
      <c r="F2957" s="356">
        <v>0.79800000000000004</v>
      </c>
      <c r="G2957" s="252" t="s">
        <v>233</v>
      </c>
      <c r="H2957" s="252" t="s">
        <v>1429</v>
      </c>
      <c r="I2957" s="252">
        <f>I2948</f>
        <v>1135.94</v>
      </c>
      <c r="J2957" s="252" t="s">
        <v>233</v>
      </c>
      <c r="K2957" s="252">
        <f>F2957*I2957</f>
        <v>906.48</v>
      </c>
      <c r="W2957" s="253"/>
    </row>
    <row r="2958" spans="6:23" ht="20.25" customHeight="1">
      <c r="H2958" s="360" t="s">
        <v>1430</v>
      </c>
      <c r="I2958" s="274"/>
      <c r="J2958" s="360" t="s">
        <v>721</v>
      </c>
      <c r="K2958" s="274">
        <f>SUM(K2955:K2957)</f>
        <v>1478</v>
      </c>
      <c r="W2958" s="253"/>
    </row>
    <row r="2959" spans="6:23" ht="20.25" customHeight="1">
      <c r="F2959" s="316"/>
      <c r="H2959" s="360" t="s">
        <v>1824</v>
      </c>
      <c r="J2959" s="360" t="s">
        <v>721</v>
      </c>
      <c r="K2959" s="274">
        <f>K2958/2.1</f>
        <v>703.81</v>
      </c>
      <c r="W2959" s="253"/>
    </row>
    <row r="2960" spans="6:23" ht="20.25" customHeight="1">
      <c r="F2960" s="356"/>
      <c r="J2960" s="252"/>
      <c r="W2960" s="253"/>
    </row>
    <row r="2961" spans="6:23" ht="20.25" customHeight="1">
      <c r="J2961" s="253"/>
      <c r="W2961" s="253"/>
    </row>
    <row r="2962" spans="6:23" ht="20.25" customHeight="1">
      <c r="J2962" s="253"/>
      <c r="W2962" s="253"/>
    </row>
    <row r="2963" spans="6:23" ht="20.25" customHeight="1">
      <c r="I2963" s="252">
        <f>160*10.76</f>
        <v>1721.6</v>
      </c>
      <c r="J2963" s="253"/>
      <c r="W2963" s="253"/>
    </row>
    <row r="2964" spans="6:23" ht="20.25" customHeight="1">
      <c r="F2964" s="253" t="s">
        <v>564</v>
      </c>
      <c r="G2964" s="252" t="s">
        <v>2251</v>
      </c>
      <c r="H2964" s="296" t="s">
        <v>1768</v>
      </c>
      <c r="I2964" s="252">
        <f>148*10.76</f>
        <v>1592.48</v>
      </c>
      <c r="J2964" s="253"/>
      <c r="W2964" s="253"/>
    </row>
    <row r="2965" spans="6:23" ht="20.25" customHeight="1">
      <c r="H2965" s="296" t="s">
        <v>256</v>
      </c>
      <c r="J2965" s="253"/>
      <c r="W2965" s="253"/>
    </row>
    <row r="2966" spans="6:23" ht="20.25" customHeight="1">
      <c r="H2966" s="296" t="s">
        <v>1471</v>
      </c>
      <c r="J2966" s="253"/>
      <c r="W2966" s="253"/>
    </row>
    <row r="2967" spans="6:23" ht="20.25" customHeight="1">
      <c r="H2967" s="358" t="s">
        <v>1586</v>
      </c>
      <c r="I2967" s="316">
        <f>1.4*2.025</f>
        <v>2.835</v>
      </c>
      <c r="J2967" s="253"/>
      <c r="W2967" s="253"/>
    </row>
    <row r="2968" spans="6:23" ht="20.25" customHeight="1">
      <c r="H2968" s="296" t="s">
        <v>1924</v>
      </c>
      <c r="J2968" s="253"/>
      <c r="W2968" s="253"/>
    </row>
    <row r="2969" spans="6:23" ht="20.25" customHeight="1">
      <c r="J2969" s="253"/>
      <c r="W2969" s="253"/>
    </row>
    <row r="2970" spans="6:23" ht="20.25" customHeight="1">
      <c r="F2970" s="356">
        <v>1.64</v>
      </c>
      <c r="G2970" s="252" t="s">
        <v>609</v>
      </c>
      <c r="H2970" s="389" t="s">
        <v>741</v>
      </c>
      <c r="I2970" s="565">
        <f>I2834</f>
        <v>2180</v>
      </c>
      <c r="J2970" s="253" t="s">
        <v>609</v>
      </c>
      <c r="K2970" s="252">
        <f>F2971*I2970</f>
        <v>3575.2</v>
      </c>
      <c r="W2970" s="253"/>
    </row>
    <row r="2971" spans="6:23" ht="20.25" customHeight="1">
      <c r="F2971" s="356">
        <v>1.64</v>
      </c>
      <c r="G2971" s="252" t="s">
        <v>609</v>
      </c>
      <c r="H2971" s="296" t="s">
        <v>447</v>
      </c>
      <c r="I2971" s="252">
        <f t="shared" ref="I2971:I2977" si="283">I2835</f>
        <v>0</v>
      </c>
      <c r="J2971" s="253" t="s">
        <v>609</v>
      </c>
      <c r="K2971" s="252">
        <f t="shared" ref="K2971:K2977" si="284">(F2971*I2971)</f>
        <v>0</v>
      </c>
      <c r="O2971" s="296" t="s">
        <v>1768</v>
      </c>
      <c r="W2971" s="253"/>
    </row>
    <row r="2972" spans="6:23" ht="20.25" customHeight="1">
      <c r="F2972" s="252">
        <v>2</v>
      </c>
      <c r="G2972" s="252" t="s">
        <v>769</v>
      </c>
      <c r="H2972" s="296" t="s">
        <v>1463</v>
      </c>
      <c r="I2972" s="252">
        <f t="shared" si="283"/>
        <v>57.65</v>
      </c>
      <c r="J2972" s="253" t="s">
        <v>868</v>
      </c>
      <c r="K2972" s="252">
        <f t="shared" si="284"/>
        <v>115.3</v>
      </c>
      <c r="O2972" s="296" t="s">
        <v>256</v>
      </c>
      <c r="W2972" s="253"/>
    </row>
    <row r="2973" spans="6:23" ht="20.25" customHeight="1">
      <c r="F2973" s="252">
        <v>3</v>
      </c>
      <c r="G2973" s="252" t="s">
        <v>868</v>
      </c>
      <c r="H2973" s="296" t="s">
        <v>1464</v>
      </c>
      <c r="I2973" s="252">
        <f t="shared" si="283"/>
        <v>89.6</v>
      </c>
      <c r="J2973" s="253" t="s">
        <v>868</v>
      </c>
      <c r="K2973" s="252">
        <f t="shared" si="284"/>
        <v>268.8</v>
      </c>
      <c r="O2973" s="296" t="s">
        <v>1927</v>
      </c>
      <c r="W2973" s="253"/>
    </row>
    <row r="2974" spans="6:23" ht="20.25" customHeight="1">
      <c r="F2974" s="252">
        <v>2</v>
      </c>
      <c r="G2974" s="252" t="s">
        <v>868</v>
      </c>
      <c r="H2974" s="296" t="s">
        <v>1465</v>
      </c>
      <c r="I2974" s="252">
        <f t="shared" si="283"/>
        <v>64.8</v>
      </c>
      <c r="J2974" s="253" t="s">
        <v>868</v>
      </c>
      <c r="K2974" s="252">
        <f t="shared" si="284"/>
        <v>129.6</v>
      </c>
      <c r="O2974" s="358" t="s">
        <v>1586</v>
      </c>
      <c r="W2974" s="253"/>
    </row>
    <row r="2975" spans="6:23" ht="20.25" customHeight="1">
      <c r="F2975" s="252">
        <v>1</v>
      </c>
      <c r="G2975" s="252" t="s">
        <v>868</v>
      </c>
      <c r="H2975" s="296" t="s">
        <v>1466</v>
      </c>
      <c r="I2975" s="252">
        <f t="shared" si="283"/>
        <v>181</v>
      </c>
      <c r="J2975" s="253" t="s">
        <v>868</v>
      </c>
      <c r="K2975" s="252">
        <f t="shared" si="284"/>
        <v>181</v>
      </c>
      <c r="L2975" s="252" t="s">
        <v>975</v>
      </c>
      <c r="O2975" s="296" t="s">
        <v>1928</v>
      </c>
      <c r="W2975" s="253"/>
    </row>
    <row r="2976" spans="6:23" ht="20.25" customHeight="1">
      <c r="F2976" s="252">
        <v>1</v>
      </c>
      <c r="G2976" s="252" t="s">
        <v>868</v>
      </c>
      <c r="H2976" s="296" t="s">
        <v>1467</v>
      </c>
      <c r="I2976" s="252">
        <f t="shared" si="283"/>
        <v>7.3</v>
      </c>
      <c r="J2976" s="253" t="s">
        <v>868</v>
      </c>
      <c r="K2976" s="252">
        <f t="shared" si="284"/>
        <v>7.3</v>
      </c>
      <c r="W2976" s="253"/>
    </row>
    <row r="2977" spans="6:23" ht="20.25"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20.25" customHeight="1">
      <c r="J2978" s="253"/>
      <c r="K2978" s="407">
        <v>0.63</v>
      </c>
      <c r="M2978" s="356">
        <v>2.2549999999999999</v>
      </c>
      <c r="N2978" s="252" t="s">
        <v>609</v>
      </c>
      <c r="O2978" s="296" t="s">
        <v>447</v>
      </c>
      <c r="P2978" s="252">
        <f t="shared" ref="P2978:P2984" si="285">I2971</f>
        <v>0</v>
      </c>
      <c r="Q2978" s="253" t="s">
        <v>609</v>
      </c>
      <c r="R2978" s="252">
        <f t="shared" ref="R2978:R2984" si="286">(M2978*P2978)</f>
        <v>0</v>
      </c>
      <c r="W2978" s="253"/>
    </row>
    <row r="2979" spans="6:23" ht="20.25" customHeight="1">
      <c r="H2979" s="296" t="s">
        <v>1925</v>
      </c>
      <c r="J2979" s="253"/>
      <c r="K2979" s="252">
        <f>SUM(K2970:K2978)</f>
        <v>4327.38</v>
      </c>
      <c r="M2979" s="252">
        <v>2</v>
      </c>
      <c r="N2979" s="252" t="s">
        <v>769</v>
      </c>
      <c r="O2979" s="296" t="s">
        <v>1463</v>
      </c>
      <c r="P2979" s="252">
        <f t="shared" si="285"/>
        <v>57.65</v>
      </c>
      <c r="Q2979" s="253" t="s">
        <v>868</v>
      </c>
      <c r="R2979" s="252">
        <f t="shared" si="286"/>
        <v>115.3</v>
      </c>
      <c r="W2979" s="253"/>
    </row>
    <row r="2980" spans="6:23" ht="20.25" customHeight="1">
      <c r="J2980" s="253"/>
      <c r="K2980" s="358" t="s">
        <v>1586</v>
      </c>
      <c r="M2980" s="252">
        <v>3</v>
      </c>
      <c r="N2980" s="252" t="s">
        <v>868</v>
      </c>
      <c r="O2980" s="296" t="s">
        <v>1464</v>
      </c>
      <c r="P2980" s="252">
        <f t="shared" si="285"/>
        <v>89.6</v>
      </c>
      <c r="Q2980" s="253" t="s">
        <v>868</v>
      </c>
      <c r="R2980" s="252">
        <f t="shared" si="286"/>
        <v>268.8</v>
      </c>
      <c r="W2980" s="253"/>
    </row>
    <row r="2981" spans="6:23" ht="20.25" customHeight="1">
      <c r="H2981" s="296" t="s">
        <v>552</v>
      </c>
      <c r="J2981" s="253"/>
      <c r="K2981" s="252">
        <f>K2979/F2971</f>
        <v>2638.65</v>
      </c>
      <c r="M2981" s="252">
        <v>2</v>
      </c>
      <c r="N2981" s="252" t="s">
        <v>868</v>
      </c>
      <c r="O2981" s="296" t="s">
        <v>1465</v>
      </c>
      <c r="P2981" s="252">
        <f t="shared" si="285"/>
        <v>64.8</v>
      </c>
      <c r="Q2981" s="253" t="s">
        <v>868</v>
      </c>
      <c r="R2981" s="252">
        <f t="shared" si="286"/>
        <v>129.6</v>
      </c>
      <c r="W2981" s="253"/>
    </row>
    <row r="2982" spans="6:23" ht="20.25" customHeight="1">
      <c r="F2982" s="296" t="s">
        <v>975</v>
      </c>
      <c r="J2982" s="253"/>
      <c r="M2982" s="252">
        <v>1</v>
      </c>
      <c r="N2982" s="252" t="s">
        <v>868</v>
      </c>
      <c r="O2982" s="296" t="s">
        <v>1466</v>
      </c>
      <c r="P2982" s="252">
        <f t="shared" si="285"/>
        <v>181</v>
      </c>
      <c r="Q2982" s="253" t="s">
        <v>868</v>
      </c>
      <c r="R2982" s="252">
        <f t="shared" si="286"/>
        <v>181</v>
      </c>
      <c r="W2982" s="253"/>
    </row>
    <row r="2983" spans="6:23" ht="20.25" customHeight="1">
      <c r="J2983" s="253"/>
      <c r="M2983" s="252">
        <v>1</v>
      </c>
      <c r="N2983" s="252" t="s">
        <v>868</v>
      </c>
      <c r="O2983" s="296" t="s">
        <v>1467</v>
      </c>
      <c r="P2983" s="252">
        <f t="shared" si="285"/>
        <v>7.3</v>
      </c>
      <c r="Q2983" s="253" t="s">
        <v>868</v>
      </c>
      <c r="R2983" s="252">
        <f t="shared" si="286"/>
        <v>7.3</v>
      </c>
      <c r="W2983" s="253"/>
    </row>
    <row r="2984" spans="6:23" ht="20.25" customHeight="1">
      <c r="F2984" s="252" t="s">
        <v>1427</v>
      </c>
      <c r="J2984" s="253"/>
      <c r="M2984" s="252">
        <v>1</v>
      </c>
      <c r="N2984" s="252" t="s">
        <v>868</v>
      </c>
      <c r="O2984" s="296" t="s">
        <v>1982</v>
      </c>
      <c r="P2984" s="252">
        <f t="shared" si="285"/>
        <v>49.55</v>
      </c>
      <c r="Q2984" s="253" t="s">
        <v>868</v>
      </c>
      <c r="R2984" s="252">
        <f t="shared" si="286"/>
        <v>49.55</v>
      </c>
      <c r="W2984" s="253"/>
    </row>
    <row r="2985" spans="6:23" ht="20.25" customHeight="1">
      <c r="J2985" s="253"/>
      <c r="Q2985" s="253"/>
      <c r="R2985" s="358" t="s">
        <v>1586</v>
      </c>
      <c r="W2985" s="253"/>
    </row>
    <row r="2986" spans="6:23" ht="20.25" customHeight="1">
      <c r="F2986" s="252" t="s">
        <v>1428</v>
      </c>
      <c r="J2986" s="253"/>
      <c r="O2986" s="296" t="s">
        <v>1929</v>
      </c>
      <c r="Q2986" s="253"/>
      <c r="R2986" s="252">
        <f>SUM(R2977:R2984)+0.17</f>
        <v>5667.62</v>
      </c>
      <c r="W2986" s="253"/>
    </row>
    <row r="2987" spans="6:23" ht="20.25" customHeight="1">
      <c r="J2987" s="253"/>
      <c r="Q2987" s="253"/>
      <c r="R2987" s="358" t="s">
        <v>1586</v>
      </c>
      <c r="W2987" s="253"/>
    </row>
    <row r="2988" spans="6:23" ht="20.25" customHeight="1">
      <c r="G2988" s="316">
        <v>0.99350000000000005</v>
      </c>
      <c r="H2988" s="252" t="s">
        <v>2151</v>
      </c>
      <c r="J2988" s="253"/>
      <c r="O2988" s="296" t="s">
        <v>552</v>
      </c>
      <c r="Q2988" s="253"/>
      <c r="R2988" s="252">
        <f>R2986/M2978</f>
        <v>2513.36</v>
      </c>
      <c r="W2988" s="253"/>
    </row>
    <row r="2989" spans="6:23" ht="20.25" customHeight="1">
      <c r="J2989" s="253"/>
      <c r="W2989" s="253"/>
    </row>
    <row r="2990" spans="6:23" ht="20.25" customHeight="1">
      <c r="F2990" s="274" t="s">
        <v>463</v>
      </c>
      <c r="J2990" s="253"/>
      <c r="W2990" s="253"/>
    </row>
    <row r="2991" spans="6:23" ht="20.25" customHeight="1">
      <c r="J2991" s="253"/>
      <c r="W2991" s="253"/>
    </row>
    <row r="2992" spans="6:23" ht="20.25" customHeight="1">
      <c r="F2992" s="316">
        <v>0.42</v>
      </c>
      <c r="G2992" s="252" t="s">
        <v>2151</v>
      </c>
      <c r="H2992" s="252" t="s">
        <v>464</v>
      </c>
      <c r="I2992" s="252">
        <f>K817</f>
        <v>8604.23</v>
      </c>
      <c r="J2992" s="407" t="s">
        <v>2151</v>
      </c>
      <c r="K2992" s="252">
        <f>F2992*I2992</f>
        <v>3613.78</v>
      </c>
      <c r="W2992" s="253"/>
    </row>
    <row r="2993" spans="6:23" ht="20.25" customHeight="1">
      <c r="F2993" s="252">
        <v>0.25</v>
      </c>
      <c r="G2993" s="252" t="s">
        <v>1394</v>
      </c>
      <c r="H2993" s="252" t="s">
        <v>465</v>
      </c>
      <c r="I2993" s="252">
        <f>C11</f>
        <v>932</v>
      </c>
      <c r="J2993" s="407" t="s">
        <v>1398</v>
      </c>
      <c r="K2993" s="252">
        <f>F2993*I2993</f>
        <v>233</v>
      </c>
      <c r="W2993" s="253"/>
    </row>
    <row r="2994" spans="6:23" ht="20.25" customHeight="1">
      <c r="F2994" s="252">
        <v>3.5</v>
      </c>
      <c r="G2994" s="252" t="s">
        <v>1432</v>
      </c>
      <c r="H2994" s="252" t="s">
        <v>348</v>
      </c>
      <c r="I2994" s="252">
        <f>C12</f>
        <v>651</v>
      </c>
      <c r="J2994" s="407" t="s">
        <v>1398</v>
      </c>
      <c r="K2994" s="252">
        <f>F2994*I2994</f>
        <v>2278.5</v>
      </c>
      <c r="W2994" s="253"/>
    </row>
    <row r="2995" spans="6:23" ht="20.25" customHeight="1">
      <c r="F2995" s="252">
        <v>32.1</v>
      </c>
      <c r="G2995" s="252" t="s">
        <v>1645</v>
      </c>
      <c r="H2995" s="252" t="s">
        <v>1593</v>
      </c>
      <c r="J2995" s="407"/>
      <c r="K2995" s="252">
        <f>(F2995*I2995)/1000</f>
        <v>0</v>
      </c>
      <c r="W2995" s="253"/>
    </row>
    <row r="2996" spans="6:23" ht="20.25" customHeight="1">
      <c r="G2996" s="252" t="s">
        <v>466</v>
      </c>
      <c r="H2996" s="252" t="s">
        <v>950</v>
      </c>
      <c r="J2996" s="407" t="s">
        <v>67</v>
      </c>
      <c r="K2996" s="252">
        <f>(K2993+K2994)*10%</f>
        <v>251.15</v>
      </c>
      <c r="W2996" s="253"/>
    </row>
    <row r="2997" spans="6:23" ht="20.25" customHeight="1">
      <c r="J2997" s="253"/>
      <c r="K2997" s="252" t="s">
        <v>951</v>
      </c>
      <c r="W2997" s="253"/>
    </row>
    <row r="2998" spans="6:23" ht="20.25" customHeight="1">
      <c r="J2998" s="253"/>
      <c r="W2998" s="253"/>
    </row>
    <row r="2999" spans="6:23" ht="20.25" customHeight="1">
      <c r="I2999" s="252" t="s">
        <v>1047</v>
      </c>
      <c r="J2999" s="253"/>
      <c r="K2999" s="252">
        <f>SUM(K2992:K2996)</f>
        <v>6376.43</v>
      </c>
      <c r="W2999" s="253"/>
    </row>
    <row r="3000" spans="6:23" ht="20.25" customHeight="1">
      <c r="J3000" s="253"/>
      <c r="W3000" s="253"/>
    </row>
    <row r="3001" spans="6:23" ht="20.25" customHeight="1">
      <c r="I3001" s="252" t="s">
        <v>1881</v>
      </c>
      <c r="J3001" s="253"/>
      <c r="K3001" s="252">
        <f>K2999/3.5</f>
        <v>1821.84</v>
      </c>
      <c r="W3001" s="253"/>
    </row>
    <row r="3002" spans="6:23" ht="20.25" customHeight="1">
      <c r="G3002" s="274" t="s">
        <v>1048</v>
      </c>
      <c r="J3002" s="253"/>
      <c r="W3002" s="253"/>
    </row>
    <row r="3003" spans="6:23" ht="20.25" customHeight="1">
      <c r="J3003" s="253"/>
      <c r="W3003" s="253"/>
    </row>
    <row r="3004" spans="6:23" ht="20.25" customHeight="1">
      <c r="F3004" s="252">
        <v>1</v>
      </c>
      <c r="G3004" s="252" t="s">
        <v>2151</v>
      </c>
      <c r="H3004" s="252" t="s">
        <v>208</v>
      </c>
      <c r="I3004" s="252">
        <f>AC38</f>
        <v>257.64999999999998</v>
      </c>
      <c r="J3004" s="407" t="s">
        <v>2151</v>
      </c>
      <c r="K3004" s="252">
        <f>F3004*I3004</f>
        <v>257.64999999999998</v>
      </c>
      <c r="W3004" s="253"/>
    </row>
    <row r="3005" spans="6:23" ht="20.25" customHeight="1">
      <c r="F3005" s="252">
        <v>1</v>
      </c>
      <c r="G3005" s="252" t="s">
        <v>2151</v>
      </c>
      <c r="H3005" s="252" t="s">
        <v>1049</v>
      </c>
      <c r="I3005" s="252">
        <f>AE28</f>
        <v>38.950000000000003</v>
      </c>
      <c r="J3005" s="407" t="s">
        <v>2151</v>
      </c>
      <c r="K3005" s="252">
        <f>F3005*I3005</f>
        <v>38.950000000000003</v>
      </c>
      <c r="W3005" s="253"/>
    </row>
    <row r="3006" spans="6:23" ht="20.25" customHeight="1">
      <c r="J3006" s="253"/>
      <c r="K3006" s="274">
        <f>SUM(K3004:K3005)</f>
        <v>296.60000000000002</v>
      </c>
      <c r="W3006" s="253"/>
    </row>
    <row r="3007" spans="6:23" ht="20.25" customHeight="1">
      <c r="W3007" s="253"/>
    </row>
    <row r="3008" spans="6:23" ht="20.25" customHeight="1">
      <c r="H3008" s="252" t="s">
        <v>1908</v>
      </c>
      <c r="I3008" s="268"/>
      <c r="J3008" s="253"/>
      <c r="W3008" s="253"/>
    </row>
    <row r="3009" spans="8:23" ht="20.25" customHeight="1">
      <c r="H3009" s="268" t="s">
        <v>5884</v>
      </c>
      <c r="I3009" s="252">
        <v>1020</v>
      </c>
      <c r="J3009" s="253" t="s">
        <v>1714</v>
      </c>
      <c r="K3009" s="362">
        <f>I3009</f>
        <v>1020</v>
      </c>
      <c r="W3009" s="253"/>
    </row>
    <row r="3010" spans="8:23" ht="20.25" customHeight="1">
      <c r="J3010" s="253"/>
      <c r="K3010" s="423"/>
      <c r="W3010" s="253"/>
    </row>
    <row r="3011" spans="8:23" ht="20.25" customHeight="1">
      <c r="J3011" s="253"/>
      <c r="K3011" s="423"/>
      <c r="W3011" s="253"/>
    </row>
    <row r="3012" spans="8:23" ht="20.25" customHeight="1">
      <c r="H3012" s="252" t="s">
        <v>5885</v>
      </c>
      <c r="I3012" s="527">
        <v>494.7</v>
      </c>
      <c r="J3012" s="253" t="s">
        <v>1714</v>
      </c>
      <c r="K3012" s="362">
        <f>I3012</f>
        <v>494.7</v>
      </c>
      <c r="W3012" s="253"/>
    </row>
    <row r="3013" spans="8:23" ht="20.25" customHeight="1">
      <c r="I3013" s="362"/>
      <c r="J3013" s="253"/>
      <c r="K3013" s="362"/>
      <c r="W3013" s="253"/>
    </row>
    <row r="3014" spans="8:23" ht="20.25" customHeight="1">
      <c r="H3014" s="252" t="s">
        <v>5886</v>
      </c>
      <c r="I3014" s="527">
        <v>398.3</v>
      </c>
      <c r="J3014" s="253" t="s">
        <v>1714</v>
      </c>
      <c r="K3014" s="362">
        <f>I3014</f>
        <v>398.3</v>
      </c>
      <c r="W3014" s="253"/>
    </row>
    <row r="3015" spans="8:23" ht="20.25" customHeight="1">
      <c r="J3015" s="253"/>
      <c r="K3015" s="362"/>
      <c r="W3015" s="253"/>
    </row>
    <row r="3016" spans="8:23" ht="20.25" customHeight="1">
      <c r="H3016" s="252" t="s">
        <v>1291</v>
      </c>
      <c r="J3016" s="253"/>
      <c r="K3016" s="423"/>
      <c r="W3016" s="253"/>
    </row>
    <row r="3017" spans="8:23" ht="20.25" customHeight="1">
      <c r="H3017" s="252" t="s">
        <v>5887</v>
      </c>
      <c r="I3017" s="527">
        <v>995</v>
      </c>
      <c r="J3017" s="253" t="s">
        <v>1714</v>
      </c>
      <c r="K3017" s="362">
        <f>I3017</f>
        <v>995</v>
      </c>
      <c r="W3017" s="253"/>
    </row>
    <row r="3018" spans="8:23" ht="20.25" customHeight="1">
      <c r="H3018" s="296" t="s">
        <v>1067</v>
      </c>
      <c r="I3018" s="372">
        <f>K2291</f>
        <v>2176.4</v>
      </c>
      <c r="J3018" s="253"/>
      <c r="K3018" s="372">
        <f>I3018</f>
        <v>2176.4</v>
      </c>
      <c r="W3018" s="253"/>
    </row>
    <row r="3019" spans="8:23" ht="20.25" customHeight="1">
      <c r="J3019" s="253"/>
      <c r="W3019" s="253"/>
    </row>
    <row r="3020" spans="8:23" ht="20.25" customHeight="1">
      <c r="J3020" s="253"/>
      <c r="W3020" s="253"/>
    </row>
    <row r="3021" spans="8:23" ht="20.25" customHeight="1">
      <c r="J3021" s="253"/>
      <c r="W3021" s="253"/>
    </row>
    <row r="3022" spans="8:23" ht="20.25" customHeight="1">
      <c r="J3022" s="253"/>
      <c r="W3022" s="253"/>
    </row>
    <row r="3023" spans="8:23" ht="20.25" customHeight="1">
      <c r="I3023" s="423"/>
      <c r="J3023" s="253"/>
      <c r="W3023" s="253"/>
    </row>
    <row r="3024" spans="8:23" ht="20.25" customHeight="1">
      <c r="J3024" s="253"/>
      <c r="W3024" s="253"/>
    </row>
    <row r="3025" spans="8:23" ht="20.25" customHeight="1">
      <c r="H3025" s="407"/>
      <c r="J3025" s="253"/>
      <c r="W3025" s="253"/>
    </row>
    <row r="3026" spans="8:23" ht="20.25" customHeight="1">
      <c r="J3026" s="253"/>
      <c r="W3026" s="253"/>
    </row>
    <row r="3027" spans="8:23" ht="20.25" customHeight="1">
      <c r="H3027" s="360"/>
      <c r="I3027" s="274"/>
      <c r="J3027" s="255"/>
      <c r="K3027" s="274"/>
      <c r="W3027" s="253"/>
    </row>
    <row r="3028" spans="8:23" ht="20.25" customHeight="1">
      <c r="W3028" s="253"/>
    </row>
    <row r="3029" spans="8:23" ht="20.25" customHeight="1">
      <c r="W3029" s="253"/>
    </row>
    <row r="3030" spans="8:23" ht="20.25" customHeight="1">
      <c r="H3030" s="252" t="s">
        <v>1010</v>
      </c>
      <c r="W3030" s="253"/>
    </row>
    <row r="3031" spans="8:23" ht="20.25" customHeight="1">
      <c r="H3031" s="252" t="s">
        <v>1011</v>
      </c>
      <c r="J3031" s="296" t="s">
        <v>1398</v>
      </c>
      <c r="K3031" s="422">
        <v>130</v>
      </c>
      <c r="W3031" s="253"/>
    </row>
    <row r="3032" spans="8:23" ht="20.25" customHeight="1">
      <c r="W3032" s="253"/>
    </row>
    <row r="3033" spans="8:23" ht="20.25" customHeight="1">
      <c r="H3033" s="252" t="s">
        <v>1012</v>
      </c>
      <c r="J3033" s="296" t="s">
        <v>1398</v>
      </c>
      <c r="K3033" s="422">
        <v>170</v>
      </c>
      <c r="W3033" s="253"/>
    </row>
    <row r="3034" spans="8:23" ht="20.25" customHeight="1">
      <c r="W3034" s="253"/>
    </row>
    <row r="3035" spans="8:23" ht="20.25" customHeight="1">
      <c r="W3035" s="253"/>
    </row>
    <row r="3036" spans="8:23" ht="20.25" customHeight="1">
      <c r="H3036" s="296" t="s">
        <v>1258</v>
      </c>
      <c r="J3036" s="296" t="s">
        <v>1398</v>
      </c>
      <c r="K3036" s="422">
        <v>443</v>
      </c>
      <c r="W3036" s="253"/>
    </row>
    <row r="3037" spans="8:23" ht="20.25" customHeight="1">
      <c r="W3037" s="253"/>
    </row>
    <row r="3038" spans="8:23" ht="20.25" customHeight="1">
      <c r="H3038" s="389" t="s">
        <v>200</v>
      </c>
      <c r="J3038" s="296" t="s">
        <v>1398</v>
      </c>
      <c r="K3038" s="252">
        <f>[3]Elec.Data!K936</f>
        <v>1552.7</v>
      </c>
      <c r="W3038" s="253"/>
    </row>
    <row r="3039" spans="8:23" ht="20.25" customHeight="1">
      <c r="W3039" s="253"/>
    </row>
    <row r="3040" spans="8:23" ht="20.25" customHeight="1">
      <c r="W3040" s="253"/>
    </row>
    <row r="3041" spans="6:23" ht="20.25" customHeight="1">
      <c r="H3041" s="252" t="s">
        <v>1291</v>
      </c>
      <c r="J3041" s="296" t="s">
        <v>1398</v>
      </c>
      <c r="K3041" s="423">
        <f>K3017</f>
        <v>995</v>
      </c>
      <c r="W3041" s="253"/>
    </row>
    <row r="3042" spans="6:23" ht="20.25" customHeight="1">
      <c r="H3042" s="252" t="s">
        <v>1292</v>
      </c>
      <c r="W3042" s="253"/>
    </row>
    <row r="3043" spans="6:23" ht="20.25" customHeight="1">
      <c r="W3043" s="253"/>
    </row>
    <row r="3044" spans="6:23" ht="20.25" customHeight="1">
      <c r="F3044" s="252">
        <v>0.5</v>
      </c>
      <c r="H3044" s="252" t="s">
        <v>1868</v>
      </c>
      <c r="J3044" s="296">
        <f>C15</f>
        <v>866</v>
      </c>
      <c r="K3044" s="252">
        <f>J3044*F3044</f>
        <v>433</v>
      </c>
      <c r="W3044" s="253"/>
    </row>
    <row r="3045" spans="6:23" ht="20.25" customHeight="1">
      <c r="F3045" s="252">
        <v>0.5</v>
      </c>
      <c r="H3045" s="252" t="s">
        <v>348</v>
      </c>
      <c r="J3045" s="296">
        <f>C12</f>
        <v>651</v>
      </c>
      <c r="K3045" s="252">
        <f>J3045*F3045</f>
        <v>325.5</v>
      </c>
      <c r="W3045" s="253"/>
    </row>
    <row r="3046" spans="6:23" ht="20.25" customHeight="1">
      <c r="I3046" s="1163" t="s">
        <v>1062</v>
      </c>
      <c r="J3046" s="1163"/>
      <c r="K3046" s="274">
        <f>SUM(K3041:K3045)</f>
        <v>1753.5</v>
      </c>
      <c r="W3046" s="253"/>
    </row>
    <row r="3047" spans="6:23" ht="20.25" customHeight="1">
      <c r="W3047" s="253"/>
    </row>
    <row r="3048" spans="6:23" ht="20.25" customHeight="1">
      <c r="W3048" s="253"/>
    </row>
    <row r="3049" spans="6:23" ht="20.25" customHeight="1">
      <c r="F3049" s="253" t="s">
        <v>564</v>
      </c>
      <c r="G3049" s="252" t="s">
        <v>2251</v>
      </c>
      <c r="H3049" s="296" t="s">
        <v>1768</v>
      </c>
      <c r="J3049" s="253"/>
      <c r="W3049" s="253"/>
    </row>
    <row r="3050" spans="6:23" ht="20.25" customHeight="1">
      <c r="H3050" s="296" t="s">
        <v>256</v>
      </c>
      <c r="J3050" s="253"/>
      <c r="W3050" s="253"/>
    </row>
    <row r="3051" spans="6:23" ht="20.25" customHeight="1">
      <c r="H3051" s="296" t="s">
        <v>1413</v>
      </c>
      <c r="J3051" s="253"/>
      <c r="W3051" s="253"/>
    </row>
    <row r="3052" spans="6:23" ht="20.25" customHeight="1">
      <c r="H3052" s="358" t="s">
        <v>1586</v>
      </c>
      <c r="J3052" s="253"/>
      <c r="W3052" s="253"/>
    </row>
    <row r="3053" spans="6:23" ht="20.25" customHeight="1">
      <c r="H3053" s="296" t="s">
        <v>757</v>
      </c>
      <c r="J3053" s="253"/>
      <c r="W3053" s="253"/>
    </row>
    <row r="3054" spans="6:23" ht="20.25" customHeight="1">
      <c r="J3054" s="253"/>
      <c r="W3054" s="253"/>
    </row>
    <row r="3055" spans="6:23" ht="20.25" customHeight="1">
      <c r="F3055" s="316">
        <v>2.2275</v>
      </c>
      <c r="G3055" s="252" t="s">
        <v>609</v>
      </c>
      <c r="H3055" s="389" t="s">
        <v>741</v>
      </c>
      <c r="I3055" s="252">
        <f>I2834</f>
        <v>2180</v>
      </c>
      <c r="J3055" s="253" t="s">
        <v>609</v>
      </c>
      <c r="K3055" s="252">
        <f>F3056*I3055</f>
        <v>4855.95</v>
      </c>
      <c r="W3055" s="253"/>
    </row>
    <row r="3056" spans="6:23" ht="20.25" customHeight="1">
      <c r="F3056" s="316">
        <f>F3055</f>
        <v>2.2275</v>
      </c>
      <c r="G3056" s="252" t="s">
        <v>609</v>
      </c>
      <c r="H3056" s="534" t="s">
        <v>447</v>
      </c>
      <c r="I3056" s="407">
        <f>I2867</f>
        <v>0</v>
      </c>
      <c r="J3056" s="253" t="s">
        <v>609</v>
      </c>
      <c r="K3056" s="252">
        <f t="shared" ref="K3056:K3062" si="287">(F3056*I3056)</f>
        <v>0</v>
      </c>
      <c r="M3056" s="253" t="s">
        <v>564</v>
      </c>
      <c r="N3056" s="252" t="s">
        <v>2251</v>
      </c>
      <c r="O3056" s="296" t="s">
        <v>1768</v>
      </c>
      <c r="Q3056" s="253"/>
      <c r="W3056" s="253"/>
    </row>
    <row r="3057" spans="6:23" ht="20.25"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0.25" customHeight="1">
      <c r="F3058" s="252">
        <v>6</v>
      </c>
      <c r="G3058" s="252" t="s">
        <v>868</v>
      </c>
      <c r="H3058" s="296" t="s">
        <v>1464</v>
      </c>
      <c r="I3058" s="423">
        <f t="shared" si="288"/>
        <v>89.6</v>
      </c>
      <c r="J3058" s="253" t="s">
        <v>868</v>
      </c>
      <c r="K3058" s="252">
        <f t="shared" si="287"/>
        <v>537.6</v>
      </c>
      <c r="O3058" s="296" t="s">
        <v>82</v>
      </c>
      <c r="Q3058" s="253"/>
      <c r="W3058" s="253"/>
    </row>
    <row r="3059" spans="6:23" ht="20.25" customHeight="1">
      <c r="F3059" s="252">
        <v>4</v>
      </c>
      <c r="G3059" s="252" t="s">
        <v>868</v>
      </c>
      <c r="H3059" s="296" t="s">
        <v>1465</v>
      </c>
      <c r="I3059" s="423">
        <f t="shared" si="288"/>
        <v>64.8</v>
      </c>
      <c r="J3059" s="253" t="s">
        <v>868</v>
      </c>
      <c r="K3059" s="252">
        <f t="shared" si="287"/>
        <v>259.2</v>
      </c>
      <c r="O3059" s="358" t="s">
        <v>1586</v>
      </c>
      <c r="Q3059" s="253"/>
      <c r="W3059" s="253"/>
    </row>
    <row r="3060" spans="6:23" ht="20.25" customHeight="1">
      <c r="F3060" s="252">
        <v>1</v>
      </c>
      <c r="G3060" s="252" t="s">
        <v>868</v>
      </c>
      <c r="H3060" s="296" t="s">
        <v>1466</v>
      </c>
      <c r="I3060" s="423">
        <f t="shared" si="288"/>
        <v>181</v>
      </c>
      <c r="J3060" s="253" t="s">
        <v>868</v>
      </c>
      <c r="K3060" s="252">
        <f t="shared" si="287"/>
        <v>181</v>
      </c>
      <c r="O3060" s="296" t="s">
        <v>364</v>
      </c>
      <c r="Q3060" s="253"/>
      <c r="W3060" s="253"/>
    </row>
    <row r="3061" spans="6:23" ht="20.25" customHeight="1">
      <c r="F3061" s="252">
        <v>2</v>
      </c>
      <c r="G3061" s="252" t="s">
        <v>868</v>
      </c>
      <c r="H3061" s="296" t="s">
        <v>1467</v>
      </c>
      <c r="I3061" s="423">
        <f t="shared" si="288"/>
        <v>7.3</v>
      </c>
      <c r="J3061" s="253" t="s">
        <v>868</v>
      </c>
      <c r="K3061" s="252">
        <f t="shared" si="287"/>
        <v>14.6</v>
      </c>
      <c r="Q3061" s="253"/>
      <c r="W3061" s="253"/>
    </row>
    <row r="3062" spans="6:23" ht="20.25"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20.25" customHeight="1">
      <c r="J3063" s="253"/>
      <c r="K3063" s="407">
        <v>0.2</v>
      </c>
      <c r="M3063" s="356">
        <v>3.29</v>
      </c>
      <c r="N3063" s="252" t="s">
        <v>609</v>
      </c>
      <c r="O3063" s="296" t="s">
        <v>447</v>
      </c>
      <c r="P3063" s="252">
        <f t="shared" ref="P3063:P3069" si="289">I3056</f>
        <v>0</v>
      </c>
      <c r="Q3063" s="253" t="s">
        <v>609</v>
      </c>
      <c r="R3063" s="252">
        <f t="shared" ref="R3063:R3069" si="290">(M3063*P3063)</f>
        <v>0</v>
      </c>
      <c r="W3063" s="253"/>
    </row>
    <row r="3064" spans="6:23" ht="20.25" customHeight="1">
      <c r="H3064" s="296" t="s">
        <v>758</v>
      </c>
      <c r="J3064" s="253"/>
      <c r="K3064" s="252">
        <f>SUM(K3055:K3063)</f>
        <v>6178.25</v>
      </c>
      <c r="M3064" s="252">
        <v>4</v>
      </c>
      <c r="N3064" s="252" t="s">
        <v>769</v>
      </c>
      <c r="O3064" s="296" t="s">
        <v>1463</v>
      </c>
      <c r="P3064" s="252">
        <f t="shared" si="289"/>
        <v>57.65</v>
      </c>
      <c r="Q3064" s="253" t="s">
        <v>868</v>
      </c>
      <c r="R3064" s="252">
        <f t="shared" si="290"/>
        <v>230.6</v>
      </c>
      <c r="W3064" s="253"/>
    </row>
    <row r="3065" spans="6:23" ht="20.25" customHeight="1">
      <c r="J3065" s="253"/>
      <c r="K3065" s="358" t="s">
        <v>1586</v>
      </c>
      <c r="M3065" s="252">
        <v>6</v>
      </c>
      <c r="N3065" s="252" t="s">
        <v>868</v>
      </c>
      <c r="O3065" s="296" t="s">
        <v>1464</v>
      </c>
      <c r="P3065" s="252">
        <f t="shared" si="289"/>
        <v>89.6</v>
      </c>
      <c r="Q3065" s="253" t="s">
        <v>868</v>
      </c>
      <c r="R3065" s="252">
        <f t="shared" si="290"/>
        <v>537.6</v>
      </c>
      <c r="W3065" s="253"/>
    </row>
    <row r="3066" spans="6:23" ht="20.25" customHeight="1">
      <c r="H3066" s="296" t="s">
        <v>552</v>
      </c>
      <c r="J3066" s="253"/>
      <c r="K3066" s="252">
        <f>K3064/F3056</f>
        <v>2773.63</v>
      </c>
      <c r="M3066" s="252">
        <v>4</v>
      </c>
      <c r="N3066" s="252" t="s">
        <v>868</v>
      </c>
      <c r="O3066" s="296" t="s">
        <v>1465</v>
      </c>
      <c r="P3066" s="252">
        <f t="shared" si="289"/>
        <v>64.8</v>
      </c>
      <c r="Q3066" s="253" t="s">
        <v>868</v>
      </c>
      <c r="R3066" s="252">
        <f t="shared" si="290"/>
        <v>259.2</v>
      </c>
      <c r="W3066" s="253"/>
    </row>
    <row r="3067" spans="6:23" ht="20.25" customHeight="1">
      <c r="M3067" s="252">
        <v>1</v>
      </c>
      <c r="N3067" s="252" t="s">
        <v>868</v>
      </c>
      <c r="O3067" s="296" t="s">
        <v>1466</v>
      </c>
      <c r="P3067" s="252">
        <f t="shared" si="289"/>
        <v>181</v>
      </c>
      <c r="Q3067" s="253" t="s">
        <v>868</v>
      </c>
      <c r="R3067" s="252">
        <f t="shared" si="290"/>
        <v>181</v>
      </c>
      <c r="W3067" s="253"/>
    </row>
    <row r="3068" spans="6:23" ht="20.25"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0.25" customHeight="1">
      <c r="H3069" s="296" t="s">
        <v>256</v>
      </c>
      <c r="J3069" s="253"/>
      <c r="M3069" s="252">
        <v>2</v>
      </c>
      <c r="N3069" s="252" t="s">
        <v>868</v>
      </c>
      <c r="O3069" s="296" t="s">
        <v>1982</v>
      </c>
      <c r="P3069" s="252">
        <f t="shared" si="289"/>
        <v>49.55</v>
      </c>
      <c r="Q3069" s="253" t="s">
        <v>868</v>
      </c>
      <c r="R3069" s="252">
        <f t="shared" si="290"/>
        <v>99.1</v>
      </c>
      <c r="W3069" s="253"/>
    </row>
    <row r="3070" spans="6:23" ht="20.25" customHeight="1">
      <c r="H3070" s="296" t="s">
        <v>1926</v>
      </c>
      <c r="J3070" s="253"/>
      <c r="Q3070" s="253"/>
      <c r="R3070" s="358" t="s">
        <v>1586</v>
      </c>
      <c r="W3070" s="253"/>
    </row>
    <row r="3071" spans="6:23" ht="20.25" customHeight="1">
      <c r="H3071" s="358" t="s">
        <v>1586</v>
      </c>
      <c r="J3071" s="253"/>
      <c r="O3071" s="296" t="s">
        <v>365</v>
      </c>
      <c r="Q3071" s="253"/>
      <c r="R3071" s="252">
        <f>SUM(R3062:R3070)+0.5</f>
        <v>8494.7999999999993</v>
      </c>
      <c r="W3071" s="253"/>
    </row>
    <row r="3072" spans="6:23" ht="20.25" customHeight="1">
      <c r="H3072" s="296" t="s">
        <v>103</v>
      </c>
      <c r="J3072" s="253"/>
      <c r="Q3072" s="253"/>
      <c r="R3072" s="358" t="s">
        <v>1586</v>
      </c>
      <c r="W3072" s="253"/>
    </row>
    <row r="3073" spans="6:23" ht="20.25" customHeight="1">
      <c r="J3073" s="253"/>
      <c r="O3073" s="296" t="s">
        <v>552</v>
      </c>
      <c r="Q3073" s="253"/>
      <c r="R3073" s="252">
        <f>R3071/M3062</f>
        <v>2582.0100000000002</v>
      </c>
      <c r="W3073" s="253"/>
    </row>
    <row r="3074" spans="6:23" ht="20.25" customHeight="1">
      <c r="F3074" s="356">
        <v>2.87</v>
      </c>
      <c r="G3074" s="252" t="s">
        <v>609</v>
      </c>
      <c r="H3074" s="389" t="s">
        <v>741</v>
      </c>
      <c r="I3074" s="423">
        <f>I3055</f>
        <v>2180</v>
      </c>
      <c r="J3074" s="253" t="s">
        <v>609</v>
      </c>
      <c r="K3074" s="252">
        <f>F3075*I3074</f>
        <v>6256.6</v>
      </c>
      <c r="Q3074" s="296"/>
      <c r="W3074" s="253"/>
    </row>
    <row r="3075" spans="6:23" ht="20.25" customHeight="1">
      <c r="F3075" s="356">
        <f>F3074</f>
        <v>2.87</v>
      </c>
      <c r="G3075" s="252" t="s">
        <v>609</v>
      </c>
      <c r="H3075" s="534" t="s">
        <v>447</v>
      </c>
      <c r="I3075" s="407">
        <f t="shared" ref="I3075:I3081" si="291">I3056</f>
        <v>0</v>
      </c>
      <c r="J3075" s="253" t="s">
        <v>609</v>
      </c>
      <c r="K3075" s="252">
        <f t="shared" ref="K3075:K3081" si="292">(F3075*I3075)</f>
        <v>0</v>
      </c>
      <c r="W3075" s="253"/>
    </row>
    <row r="3076" spans="6:23" ht="20.25" customHeight="1">
      <c r="F3076" s="252">
        <v>4</v>
      </c>
      <c r="G3076" s="252" t="s">
        <v>769</v>
      </c>
      <c r="H3076" s="296" t="s">
        <v>1463</v>
      </c>
      <c r="I3076" s="423">
        <f t="shared" si="291"/>
        <v>57.65</v>
      </c>
      <c r="J3076" s="253" t="s">
        <v>868</v>
      </c>
      <c r="K3076" s="252">
        <f t="shared" si="292"/>
        <v>230.6</v>
      </c>
      <c r="W3076" s="253"/>
    </row>
    <row r="3077" spans="6:23" ht="20.25" customHeight="1">
      <c r="F3077" s="252">
        <v>6</v>
      </c>
      <c r="G3077" s="252" t="s">
        <v>868</v>
      </c>
      <c r="H3077" s="296" t="s">
        <v>1464</v>
      </c>
      <c r="I3077" s="423">
        <f t="shared" si="291"/>
        <v>89.6</v>
      </c>
      <c r="J3077" s="253" t="s">
        <v>868</v>
      </c>
      <c r="K3077" s="252">
        <f t="shared" si="292"/>
        <v>537.6</v>
      </c>
      <c r="W3077" s="253"/>
    </row>
    <row r="3078" spans="6:23" ht="20.25" customHeight="1">
      <c r="F3078" s="252">
        <v>4</v>
      </c>
      <c r="G3078" s="252" t="s">
        <v>868</v>
      </c>
      <c r="H3078" s="296" t="s">
        <v>1465</v>
      </c>
      <c r="I3078" s="423">
        <f t="shared" si="291"/>
        <v>64.8</v>
      </c>
      <c r="J3078" s="253" t="s">
        <v>868</v>
      </c>
      <c r="K3078" s="252">
        <f t="shared" si="292"/>
        <v>259.2</v>
      </c>
      <c r="W3078" s="253"/>
    </row>
    <row r="3079" spans="6:23" ht="20.25" customHeight="1">
      <c r="F3079" s="252">
        <v>1</v>
      </c>
      <c r="G3079" s="252" t="s">
        <v>868</v>
      </c>
      <c r="H3079" s="296" t="s">
        <v>1466</v>
      </c>
      <c r="I3079" s="423">
        <f t="shared" si="291"/>
        <v>181</v>
      </c>
      <c r="J3079" s="253" t="s">
        <v>868</v>
      </c>
      <c r="K3079" s="252">
        <f t="shared" si="292"/>
        <v>181</v>
      </c>
      <c r="W3079" s="253"/>
    </row>
    <row r="3080" spans="6:23" ht="20.25" customHeight="1">
      <c r="F3080" s="252">
        <v>2</v>
      </c>
      <c r="G3080" s="252" t="s">
        <v>868</v>
      </c>
      <c r="H3080" s="296" t="s">
        <v>1467</v>
      </c>
      <c r="I3080" s="423">
        <f t="shared" si="291"/>
        <v>7.3</v>
      </c>
      <c r="J3080" s="253" t="s">
        <v>868</v>
      </c>
      <c r="K3080" s="252">
        <f t="shared" si="292"/>
        <v>14.6</v>
      </c>
      <c r="W3080" s="253"/>
    </row>
    <row r="3081" spans="6:23" ht="20.25" customHeight="1">
      <c r="F3081" s="252">
        <v>2</v>
      </c>
      <c r="G3081" s="252" t="s">
        <v>868</v>
      </c>
      <c r="H3081" s="296" t="s">
        <v>1982</v>
      </c>
      <c r="I3081" s="423">
        <f t="shared" si="291"/>
        <v>49.55</v>
      </c>
      <c r="J3081" s="253" t="s">
        <v>868</v>
      </c>
      <c r="K3081" s="252">
        <f t="shared" si="292"/>
        <v>99.1</v>
      </c>
      <c r="W3081" s="253"/>
    </row>
    <row r="3082" spans="6:23" ht="20.25" customHeight="1">
      <c r="J3082" s="253"/>
      <c r="K3082" s="407">
        <f>1.19+0.16</f>
        <v>1.35</v>
      </c>
      <c r="W3082" s="253"/>
    </row>
    <row r="3083" spans="6:23" ht="20.25" customHeight="1">
      <c r="H3083" s="296" t="s">
        <v>104</v>
      </c>
      <c r="J3083" s="253"/>
      <c r="K3083" s="252">
        <f>SUM(K3074:K3082)</f>
        <v>7580.05</v>
      </c>
      <c r="W3083" s="253"/>
    </row>
    <row r="3084" spans="6:23" ht="20.25" customHeight="1">
      <c r="J3084" s="253"/>
      <c r="K3084" s="358" t="s">
        <v>1586</v>
      </c>
      <c r="W3084" s="253"/>
    </row>
    <row r="3085" spans="6:23" ht="20.25" customHeight="1">
      <c r="H3085" s="296" t="s">
        <v>552</v>
      </c>
      <c r="J3085" s="253"/>
      <c r="K3085" s="252">
        <f>K3083/F3075</f>
        <v>2641.13</v>
      </c>
      <c r="W3085" s="253"/>
    </row>
    <row r="3086" spans="6:23" ht="20.25" customHeight="1">
      <c r="W3086" s="253"/>
    </row>
    <row r="3087" spans="6:23" ht="20.25" customHeight="1">
      <c r="F3087" s="539" t="s">
        <v>880</v>
      </c>
      <c r="G3087" s="540"/>
      <c r="H3087" s="367" t="s">
        <v>1230</v>
      </c>
      <c r="I3087" s="540"/>
      <c r="J3087" s="367"/>
      <c r="K3087" s="540"/>
      <c r="W3087" s="253"/>
    </row>
    <row r="3088" spans="6:23" ht="20.25" customHeight="1">
      <c r="F3088" s="540"/>
      <c r="G3088" s="540"/>
      <c r="H3088" s="541" t="s">
        <v>1586</v>
      </c>
      <c r="I3088" s="541" t="s">
        <v>1586</v>
      </c>
      <c r="J3088" s="367" t="s">
        <v>1586</v>
      </c>
      <c r="K3088" s="540"/>
      <c r="W3088" s="253"/>
    </row>
    <row r="3089" spans="6:42" ht="20.25" customHeight="1">
      <c r="F3089" s="540"/>
      <c r="G3089" s="540"/>
      <c r="H3089" s="540"/>
      <c r="I3089" s="540"/>
      <c r="J3089" s="367"/>
      <c r="K3089" s="540"/>
      <c r="W3089" s="253"/>
    </row>
    <row r="3090" spans="6:42" ht="20.25" customHeight="1">
      <c r="F3090" s="540"/>
      <c r="G3090" s="540"/>
      <c r="H3090" s="367" t="s">
        <v>2000</v>
      </c>
      <c r="I3090" s="540"/>
      <c r="J3090" s="367"/>
      <c r="K3090" s="540"/>
      <c r="W3090" s="253"/>
    </row>
    <row r="3091" spans="6:42" ht="20.25" customHeight="1">
      <c r="F3091" s="540"/>
      <c r="G3091" s="540"/>
      <c r="H3091" s="367"/>
      <c r="I3091" s="540"/>
      <c r="J3091" s="367"/>
      <c r="K3091" s="540"/>
      <c r="W3091" s="253"/>
    </row>
    <row r="3092" spans="6:42" ht="20.25" customHeight="1">
      <c r="F3092" s="540"/>
      <c r="G3092" s="540"/>
      <c r="H3092" s="367" t="s">
        <v>2001</v>
      </c>
      <c r="I3092" s="540"/>
      <c r="J3092" s="367"/>
      <c r="K3092" s="540"/>
      <c r="W3092" s="253"/>
    </row>
    <row r="3093" spans="6:42" ht="20.25" customHeight="1">
      <c r="F3093" s="540"/>
      <c r="G3093" s="540"/>
      <c r="H3093" s="367" t="s">
        <v>454</v>
      </c>
      <c r="I3093" s="540"/>
      <c r="J3093" s="367"/>
      <c r="K3093" s="540"/>
      <c r="W3093" s="253"/>
    </row>
    <row r="3094" spans="6:42" ht="20.25" customHeight="1">
      <c r="F3094" s="540"/>
      <c r="G3094" s="540"/>
      <c r="H3094" s="367" t="s">
        <v>455</v>
      </c>
      <c r="I3094" s="540"/>
      <c r="J3094" s="367"/>
      <c r="K3094" s="540"/>
      <c r="S3094" s="253"/>
      <c r="U3094" s="296"/>
      <c r="W3094" s="253"/>
    </row>
    <row r="3095" spans="6:42" ht="20.25" customHeight="1">
      <c r="F3095" s="540"/>
      <c r="G3095" s="540"/>
      <c r="H3095" s="367" t="s">
        <v>456</v>
      </c>
      <c r="I3095" s="540"/>
      <c r="J3095" s="367"/>
      <c r="K3095" s="540"/>
      <c r="S3095" s="252"/>
      <c r="U3095" s="296"/>
      <c r="W3095" s="253"/>
    </row>
    <row r="3096" spans="6:42" ht="20.25" customHeight="1">
      <c r="F3096" s="540"/>
      <c r="G3096" s="540"/>
      <c r="H3096" s="367" t="s">
        <v>881</v>
      </c>
      <c r="I3096" s="540"/>
      <c r="J3096" s="367" t="s">
        <v>975</v>
      </c>
      <c r="K3096" s="543">
        <v>3.7699999999999997E-2</v>
      </c>
      <c r="S3096" s="252"/>
      <c r="U3096" s="296"/>
      <c r="W3096" s="253"/>
    </row>
    <row r="3097" spans="6:42" ht="20.25" customHeight="1">
      <c r="F3097" s="540"/>
      <c r="G3097" s="540"/>
      <c r="H3097" s="566" t="s">
        <v>452</v>
      </c>
      <c r="I3097" s="540"/>
      <c r="J3097" s="544" t="s">
        <v>975</v>
      </c>
      <c r="K3097" s="544" t="s">
        <v>975</v>
      </c>
      <c r="S3097" s="252"/>
      <c r="U3097" s="296"/>
      <c r="W3097" s="253"/>
    </row>
    <row r="3098" spans="6:42" ht="20.25" customHeight="1">
      <c r="F3098" s="540"/>
      <c r="G3098" s="540"/>
      <c r="H3098" s="367" t="s">
        <v>1830</v>
      </c>
      <c r="I3098" s="540"/>
      <c r="J3098" s="367"/>
      <c r="K3098" s="544" t="s">
        <v>975</v>
      </c>
      <c r="S3098" s="252"/>
      <c r="U3098" s="296"/>
      <c r="W3098" s="253"/>
    </row>
    <row r="3099" spans="6:42" ht="20.25" customHeight="1">
      <c r="F3099" s="540"/>
      <c r="G3099" s="540"/>
      <c r="H3099" s="540"/>
      <c r="I3099" s="540"/>
      <c r="J3099" s="367"/>
      <c r="K3099" s="540"/>
      <c r="S3099" s="252"/>
      <c r="U3099" s="252" t="s">
        <v>3542</v>
      </c>
      <c r="W3099" s="253"/>
    </row>
    <row r="3100" spans="6:42" ht="20.25" customHeight="1">
      <c r="F3100" s="545">
        <v>1.18E-2</v>
      </c>
      <c r="G3100" s="540" t="s">
        <v>869</v>
      </c>
      <c r="H3100" s="367" t="s">
        <v>692</v>
      </c>
      <c r="I3100" s="540">
        <f>I2662</f>
        <v>111600</v>
      </c>
      <c r="J3100" s="367" t="s">
        <v>869</v>
      </c>
      <c r="K3100" s="540">
        <f t="shared" ref="K3100:K3108" si="293">(F3100*I3100)</f>
        <v>1316.88</v>
      </c>
      <c r="S3100" s="252"/>
      <c r="U3100" s="360"/>
      <c r="W3100" s="253"/>
    </row>
    <row r="3101" spans="6:42" ht="20.25" customHeight="1">
      <c r="F3101" s="545">
        <v>3.7699999999999997E-2</v>
      </c>
      <c r="G3101" s="540" t="s">
        <v>869</v>
      </c>
      <c r="H3101" s="367" t="s">
        <v>693</v>
      </c>
      <c r="I3101" s="540">
        <f t="shared" ref="I3101:I3108" si="294">I2663</f>
        <v>99400</v>
      </c>
      <c r="J3101" s="367" t="s">
        <v>869</v>
      </c>
      <c r="K3101" s="540">
        <f t="shared" si="293"/>
        <v>3747.38</v>
      </c>
      <c r="S3101" s="252"/>
      <c r="U3101" s="296" t="s">
        <v>3543</v>
      </c>
      <c r="V3101" s="316">
        <f xml:space="preserve"> 3.08*2.1</f>
        <v>6.468</v>
      </c>
      <c r="W3101" s="253" t="s">
        <v>233</v>
      </c>
      <c r="X3101" s="252" t="s">
        <v>233</v>
      </c>
    </row>
    <row r="3102" spans="6:42" ht="20.25" customHeight="1">
      <c r="F3102" s="545">
        <v>1.8550000000000001E-2</v>
      </c>
      <c r="G3102" s="540" t="s">
        <v>869</v>
      </c>
      <c r="H3102" s="367" t="s">
        <v>886</v>
      </c>
      <c r="I3102" s="540">
        <f t="shared" si="294"/>
        <v>13690</v>
      </c>
      <c r="J3102" s="367" t="s">
        <v>869</v>
      </c>
      <c r="K3102" s="540">
        <f t="shared" si="293"/>
        <v>253.95</v>
      </c>
      <c r="S3102" s="252"/>
      <c r="T3102" s="508"/>
      <c r="U3102" s="567" t="s">
        <v>3829</v>
      </c>
      <c r="V3102" s="568">
        <f>4*2.05*0.075*0.0375</f>
        <v>2.3060000000000001E-2</v>
      </c>
      <c r="W3102" s="569" t="s">
        <v>1341</v>
      </c>
      <c r="X3102" s="508"/>
      <c r="AE3102" s="274" t="s">
        <v>3654</v>
      </c>
      <c r="AP3102" s="274" t="s">
        <v>4238</v>
      </c>
    </row>
    <row r="3103" spans="6:42" ht="20.25" customHeight="1">
      <c r="F3103" s="545">
        <v>1.36</v>
      </c>
      <c r="G3103" s="540" t="s">
        <v>609</v>
      </c>
      <c r="H3103" s="367" t="s">
        <v>1231</v>
      </c>
      <c r="I3103" s="540">
        <f>I1055</f>
        <v>387.4</v>
      </c>
      <c r="J3103" s="367" t="s">
        <v>609</v>
      </c>
      <c r="K3103" s="540">
        <f t="shared" si="293"/>
        <v>526.86</v>
      </c>
      <c r="S3103" s="252"/>
      <c r="T3103" s="508"/>
      <c r="U3103" s="508"/>
      <c r="V3103" s="508"/>
      <c r="W3103" s="569" t="s">
        <v>1586</v>
      </c>
      <c r="X3103" s="508"/>
      <c r="AE3103" s="252" t="s">
        <v>3216</v>
      </c>
      <c r="AP3103" s="252" t="s">
        <v>3216</v>
      </c>
    </row>
    <row r="3104" spans="6:42" ht="20.25" customHeight="1">
      <c r="F3104" s="545">
        <v>2.0499999999999998</v>
      </c>
      <c r="G3104" s="540" t="s">
        <v>609</v>
      </c>
      <c r="H3104" s="367" t="s">
        <v>1506</v>
      </c>
      <c r="I3104" s="540">
        <f t="shared" si="294"/>
        <v>1281</v>
      </c>
      <c r="J3104" s="367" t="s">
        <v>609</v>
      </c>
      <c r="K3104" s="540">
        <f t="shared" si="293"/>
        <v>2626.05</v>
      </c>
      <c r="S3104" s="252"/>
      <c r="T3104" s="508"/>
      <c r="U3104" s="567" t="s">
        <v>3830</v>
      </c>
      <c r="V3104" s="568">
        <f>2*3*0.55*0.15*0.0375</f>
        <v>1.856E-2</v>
      </c>
      <c r="W3104" s="569" t="s">
        <v>1341</v>
      </c>
      <c r="X3104" s="508"/>
      <c r="AE3104" s="252" t="s">
        <v>3655</v>
      </c>
      <c r="AP3104" s="252" t="s">
        <v>3655</v>
      </c>
    </row>
    <row r="3105" spans="6:47" ht="20.25" customHeight="1">
      <c r="F3105" s="540">
        <v>2</v>
      </c>
      <c r="G3105" s="540" t="s">
        <v>868</v>
      </c>
      <c r="H3105" s="367" t="s">
        <v>5888</v>
      </c>
      <c r="I3105" s="570">
        <v>57</v>
      </c>
      <c r="J3105" s="367" t="s">
        <v>868</v>
      </c>
      <c r="K3105" s="540">
        <f t="shared" si="293"/>
        <v>114</v>
      </c>
      <c r="S3105" s="252"/>
      <c r="T3105" s="508"/>
      <c r="U3105" s="567" t="s">
        <v>975</v>
      </c>
      <c r="V3105" s="567" t="s">
        <v>975</v>
      </c>
      <c r="W3105" s="569"/>
      <c r="X3105" s="57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20.25" customHeight="1">
      <c r="F3106" s="540">
        <v>6</v>
      </c>
      <c r="G3106" s="540" t="s">
        <v>868</v>
      </c>
      <c r="H3106" s="367" t="s">
        <v>1343</v>
      </c>
      <c r="I3106" s="540">
        <f t="shared" si="294"/>
        <v>49.35</v>
      </c>
      <c r="J3106" s="367" t="s">
        <v>868</v>
      </c>
      <c r="K3106" s="540">
        <f t="shared" si="293"/>
        <v>296.10000000000002</v>
      </c>
      <c r="S3106" s="252"/>
      <c r="T3106" s="508"/>
      <c r="U3106" s="508"/>
      <c r="V3106" s="508"/>
      <c r="W3106" s="569" t="s">
        <v>975</v>
      </c>
      <c r="X3106" s="56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0.25" customHeight="1">
      <c r="F3107" s="540">
        <v>2</v>
      </c>
      <c r="G3107" s="540" t="s">
        <v>868</v>
      </c>
      <c r="H3107" s="367" t="s">
        <v>1390</v>
      </c>
      <c r="I3107" s="540">
        <f t="shared" si="294"/>
        <v>60.9</v>
      </c>
      <c r="J3107" s="367" t="s">
        <v>868</v>
      </c>
      <c r="K3107" s="540">
        <f t="shared" si="293"/>
        <v>121.8</v>
      </c>
      <c r="S3107" s="252"/>
      <c r="T3107" s="508"/>
      <c r="U3107" s="567" t="s">
        <v>2438</v>
      </c>
      <c r="V3107" s="508">
        <f>2*0.625*0.425</f>
        <v>0.53</v>
      </c>
      <c r="W3107" s="572" t="s">
        <v>975</v>
      </c>
      <c r="X3107" s="571" t="s">
        <v>975</v>
      </c>
      <c r="AC3107" s="252">
        <v>10</v>
      </c>
      <c r="AD3107" s="252" t="s">
        <v>3657</v>
      </c>
      <c r="AE3107" s="252" t="s">
        <v>5341</v>
      </c>
      <c r="AF3107" s="362">
        <v>18.45</v>
      </c>
      <c r="AG3107" s="252" t="s">
        <v>3658</v>
      </c>
      <c r="AH3107" s="252">
        <f>(AC3107*AF3107)/100</f>
        <v>1.85</v>
      </c>
      <c r="AM3107" s="252">
        <v>10</v>
      </c>
      <c r="AN3107" s="252" t="s">
        <v>3657</v>
      </c>
      <c r="AP3107" s="252" t="s">
        <v>4340</v>
      </c>
      <c r="AQ3107" s="252">
        <f>AF3107</f>
        <v>18.45</v>
      </c>
      <c r="AR3107" s="252" t="s">
        <v>3658</v>
      </c>
      <c r="AS3107" s="252">
        <f>(AQ3107*AM3107)/100</f>
        <v>1.85</v>
      </c>
    </row>
    <row r="3108" spans="6:47" ht="20.25" customHeight="1">
      <c r="F3108" s="540">
        <v>1</v>
      </c>
      <c r="G3108" s="540" t="s">
        <v>868</v>
      </c>
      <c r="H3108" s="367" t="s">
        <v>1417</v>
      </c>
      <c r="I3108" s="573">
        <f t="shared" si="294"/>
        <v>63.2</v>
      </c>
      <c r="J3108" s="367" t="s">
        <v>868</v>
      </c>
      <c r="K3108" s="540">
        <f t="shared" si="293"/>
        <v>63.2</v>
      </c>
      <c r="S3108" s="252"/>
      <c r="T3108" s="508"/>
      <c r="U3108" s="567" t="s">
        <v>2439</v>
      </c>
      <c r="V3108" s="508">
        <f>2*0.425*1.025</f>
        <v>0.87</v>
      </c>
      <c r="W3108" s="569"/>
      <c r="X3108" s="571">
        <v>1.26</v>
      </c>
      <c r="AC3108" s="252">
        <v>0.25</v>
      </c>
      <c r="AD3108" s="252" t="s">
        <v>1432</v>
      </c>
      <c r="AE3108" s="252" t="s">
        <v>5342</v>
      </c>
      <c r="AF3108" s="362">
        <v>3.6</v>
      </c>
      <c r="AG3108" s="252" t="s">
        <v>1398</v>
      </c>
      <c r="AH3108" s="252">
        <v>1</v>
      </c>
      <c r="AM3108" s="252">
        <v>0.25</v>
      </c>
      <c r="AN3108" s="252" t="s">
        <v>1432</v>
      </c>
      <c r="AP3108" s="252" t="s">
        <v>4341</v>
      </c>
      <c r="AQ3108" s="252">
        <f>AF3108</f>
        <v>3.6</v>
      </c>
      <c r="AR3108" s="252" t="s">
        <v>1398</v>
      </c>
      <c r="AS3108" s="252">
        <f>AQ3108*AM3108</f>
        <v>0.9</v>
      </c>
      <c r="AU3108" s="252">
        <f>3.09/0.25</f>
        <v>12.36</v>
      </c>
    </row>
    <row r="3109" spans="6:47" ht="20.25" customHeight="1">
      <c r="F3109" s="540">
        <v>6.55</v>
      </c>
      <c r="G3109" s="540" t="s">
        <v>609</v>
      </c>
      <c r="H3109" s="367" t="s">
        <v>1345</v>
      </c>
      <c r="I3109" s="540">
        <f>K1540</f>
        <v>233.74</v>
      </c>
      <c r="J3109" s="367" t="s">
        <v>609</v>
      </c>
      <c r="K3109" s="540">
        <f>(F3109*I3109)</f>
        <v>1531</v>
      </c>
      <c r="S3109" s="252"/>
      <c r="T3109" s="508"/>
      <c r="U3109" s="508"/>
      <c r="V3109" s="574">
        <f>SUM(V3107:V3108)</f>
        <v>1.4</v>
      </c>
      <c r="W3109" s="569" t="s">
        <v>233</v>
      </c>
      <c r="X3109" s="567" t="s">
        <v>975</v>
      </c>
      <c r="AF3109" s="252" t="s">
        <v>3659</v>
      </c>
      <c r="AH3109" s="252">
        <f>SUM(AH3105:AH3108)</f>
        <v>156.05000000000001</v>
      </c>
      <c r="AQ3109" s="252" t="s">
        <v>3659</v>
      </c>
      <c r="AS3109" s="252">
        <f>SUM(AS3105:AS3108)</f>
        <v>155.94999999999999</v>
      </c>
    </row>
    <row r="3110" spans="6:47" ht="20.25" customHeight="1">
      <c r="F3110" s="540">
        <v>50</v>
      </c>
      <c r="G3110" s="540" t="s">
        <v>1432</v>
      </c>
      <c r="H3110" s="367" t="s">
        <v>1335</v>
      </c>
      <c r="I3110" s="575">
        <f>I961</f>
        <v>2.41</v>
      </c>
      <c r="J3110" s="367"/>
      <c r="K3110" s="540">
        <f>(F3110*I3110)</f>
        <v>120.5</v>
      </c>
      <c r="S3110" s="252"/>
      <c r="W3110" s="253"/>
      <c r="X3110" s="443" t="s">
        <v>975</v>
      </c>
    </row>
    <row r="3111" spans="6:47" ht="20.25" customHeight="1">
      <c r="F3111" s="540"/>
      <c r="G3111" s="540"/>
      <c r="H3111" s="550"/>
      <c r="I3111" s="550"/>
      <c r="J3111" s="359"/>
      <c r="K3111" s="551" t="s">
        <v>1586</v>
      </c>
      <c r="S3111" s="252"/>
      <c r="W3111" s="253"/>
      <c r="X3111" s="296" t="s">
        <v>975</v>
      </c>
      <c r="AE3111" s="576" t="s">
        <v>463</v>
      </c>
      <c r="AF3111" s="252" t="s">
        <v>3660</v>
      </c>
      <c r="AG3111" s="576" t="s">
        <v>3660</v>
      </c>
      <c r="AH3111" s="576" t="s">
        <v>3661</v>
      </c>
      <c r="AP3111" s="576" t="s">
        <v>463</v>
      </c>
      <c r="AQ3111" s="274" t="s">
        <v>3660</v>
      </c>
      <c r="AR3111" s="577" t="s">
        <v>3661</v>
      </c>
    </row>
    <row r="3112" spans="6:47" ht="20.25" customHeight="1">
      <c r="F3112" s="540"/>
      <c r="G3112" s="540"/>
      <c r="H3112" s="552" t="s">
        <v>1415</v>
      </c>
      <c r="I3112" s="550"/>
      <c r="J3112" s="359"/>
      <c r="K3112" s="550">
        <f>SUM(K3100:K3110)</f>
        <v>10717.72</v>
      </c>
      <c r="S3112" s="253" t="s">
        <v>1473</v>
      </c>
      <c r="U3112" s="276" t="s">
        <v>3549</v>
      </c>
      <c r="W3112" s="253"/>
      <c r="X3112" s="296" t="s">
        <v>975</v>
      </c>
      <c r="AE3112" s="576"/>
      <c r="AF3112" s="314">
        <v>331</v>
      </c>
      <c r="AG3112" s="314">
        <v>331</v>
      </c>
      <c r="AH3112" s="314">
        <v>283</v>
      </c>
      <c r="AP3112" s="576"/>
      <c r="AR3112" s="576"/>
      <c r="AS3112" s="576"/>
    </row>
    <row r="3113" spans="6:47" ht="20.25" customHeight="1">
      <c r="F3113" s="540"/>
      <c r="G3113" s="540" t="s">
        <v>975</v>
      </c>
      <c r="H3113" s="550"/>
      <c r="I3113" s="550"/>
      <c r="J3113" s="359"/>
      <c r="K3113" s="551" t="s">
        <v>1586</v>
      </c>
      <c r="S3113" s="252"/>
      <c r="U3113" s="358" t="s">
        <v>1586</v>
      </c>
      <c r="W3113" s="253"/>
      <c r="AE3113" s="576" t="s">
        <v>3662</v>
      </c>
      <c r="AF3113" s="252">
        <f>AH3109</f>
        <v>156.05000000000001</v>
      </c>
      <c r="AG3113" s="576">
        <f>AH3109</f>
        <v>156.05000000000001</v>
      </c>
      <c r="AH3113" s="576">
        <f>AH3109</f>
        <v>156.05000000000001</v>
      </c>
      <c r="AP3113" s="576" t="s">
        <v>3662</v>
      </c>
      <c r="AQ3113" s="456">
        <v>96</v>
      </c>
      <c r="AR3113" s="456">
        <v>85</v>
      </c>
      <c r="AS3113" s="456">
        <v>85</v>
      </c>
    </row>
    <row r="3114" spans="6:47" ht="20.25" customHeight="1">
      <c r="F3114" s="540"/>
      <c r="G3114" s="540"/>
      <c r="H3114" s="552" t="s">
        <v>552</v>
      </c>
      <c r="I3114" s="550"/>
      <c r="J3114" s="359"/>
      <c r="K3114" s="550">
        <f>K3112/2.52</f>
        <v>4253.0600000000004</v>
      </c>
      <c r="S3114" s="400">
        <v>7.0699999999999999E-2</v>
      </c>
      <c r="T3114" s="252" t="s">
        <v>869</v>
      </c>
      <c r="U3114" s="296" t="s">
        <v>3544</v>
      </c>
      <c r="V3114" s="252">
        <f>P3154</f>
        <v>99400</v>
      </c>
      <c r="W3114" s="253" t="s">
        <v>869</v>
      </c>
      <c r="X3114" s="252">
        <f>V3114*S3114</f>
        <v>7027.58</v>
      </c>
      <c r="AE3114" s="576" t="s">
        <v>1822</v>
      </c>
      <c r="AF3114" s="252">
        <f>SUM(AF3112:AF3113)</f>
        <v>487.05</v>
      </c>
      <c r="AG3114" s="576">
        <f>SUM(AG3112:AG3113)</f>
        <v>487.05</v>
      </c>
      <c r="AH3114" s="576">
        <f>SUM(AH3112:AH3113)</f>
        <v>439.05</v>
      </c>
      <c r="AP3114" s="576" t="s">
        <v>1822</v>
      </c>
      <c r="AQ3114" s="252">
        <f>AS3109</f>
        <v>155.94999999999999</v>
      </c>
      <c r="AR3114" s="576">
        <f>AS3109</f>
        <v>155.94999999999999</v>
      </c>
      <c r="AS3114" s="576"/>
    </row>
    <row r="3115" spans="6:47" ht="20.25" customHeight="1">
      <c r="F3115" s="540"/>
      <c r="G3115" s="540"/>
      <c r="H3115" s="550"/>
      <c r="I3115" s="550"/>
      <c r="J3115" s="359"/>
      <c r="K3115" s="551" t="s">
        <v>2055</v>
      </c>
      <c r="S3115" s="400">
        <v>3.6659999999999999</v>
      </c>
      <c r="T3115" s="252" t="s">
        <v>609</v>
      </c>
      <c r="U3115" s="296" t="s">
        <v>3545</v>
      </c>
      <c r="V3115" s="252">
        <f>I1176</f>
        <v>306.89999999999998</v>
      </c>
      <c r="W3115" s="253" t="s">
        <v>869</v>
      </c>
      <c r="X3115" s="252">
        <f t="shared" ref="X3115:X3122" si="295">V3115*S3115</f>
        <v>1125.0999999999999</v>
      </c>
      <c r="AE3115" s="576"/>
      <c r="AF3115" s="252">
        <f>ROUNDUP(AF3114,0)</f>
        <v>488</v>
      </c>
      <c r="AG3115" s="252">
        <f>ROUNDUP(AG3114,0)</f>
        <v>488</v>
      </c>
      <c r="AH3115" s="252">
        <f>ROUNDUP(AH3114,0)</f>
        <v>440</v>
      </c>
      <c r="AP3115" s="576"/>
      <c r="AQ3115" s="274">
        <f>SUM(AQ3112:AQ3114)</f>
        <v>251.95</v>
      </c>
      <c r="AR3115" s="274">
        <f>SUM(AR3112:AR3114)</f>
        <v>240.95</v>
      </c>
    </row>
    <row r="3116" spans="6:47" ht="20.25" customHeight="1">
      <c r="S3116" s="316">
        <v>5.16</v>
      </c>
      <c r="T3116" s="252" t="s">
        <v>609</v>
      </c>
      <c r="U3116" s="296" t="s">
        <v>2092</v>
      </c>
      <c r="V3116" s="252">
        <f>AE32</f>
        <v>1436</v>
      </c>
      <c r="W3116" s="253" t="s">
        <v>609</v>
      </c>
      <c r="X3116" s="252">
        <f t="shared" si="295"/>
        <v>7409.76</v>
      </c>
      <c r="AE3116" s="576"/>
      <c r="AF3116" s="576"/>
      <c r="AG3116" s="576"/>
      <c r="AH3116" s="576"/>
      <c r="AQ3116" s="252">
        <f>ROUNDUP(AQ3115,0)</f>
        <v>252</v>
      </c>
      <c r="AR3116" s="252">
        <f>ROUNDUP(AR3115,0)</f>
        <v>241</v>
      </c>
    </row>
    <row r="3117" spans="6:47" ht="20.25" customHeight="1">
      <c r="S3117" s="316">
        <v>22.66</v>
      </c>
      <c r="T3117" s="252" t="s">
        <v>3550</v>
      </c>
      <c r="U3117" s="296" t="s">
        <v>3546</v>
      </c>
      <c r="V3117" s="362">
        <v>15.45</v>
      </c>
      <c r="W3117" s="253" t="s">
        <v>5040</v>
      </c>
      <c r="X3117" s="252">
        <f t="shared" si="295"/>
        <v>350.1</v>
      </c>
    </row>
    <row r="3118" spans="6:47" ht="20.25" customHeight="1">
      <c r="H3118" s="274" t="s">
        <v>1232</v>
      </c>
      <c r="O3118" s="274" t="s">
        <v>3690</v>
      </c>
      <c r="Q3118" s="296"/>
      <c r="S3118" s="252">
        <v>15</v>
      </c>
      <c r="T3118" s="252" t="s">
        <v>868</v>
      </c>
      <c r="U3118" s="296" t="s">
        <v>1517</v>
      </c>
      <c r="V3118" s="252">
        <f>C279</f>
        <v>89.6</v>
      </c>
      <c r="W3118" s="253" t="s">
        <v>868</v>
      </c>
      <c r="X3118" s="252">
        <f t="shared" si="295"/>
        <v>1344</v>
      </c>
    </row>
    <row r="3119" spans="6:47" ht="20.25" customHeight="1">
      <c r="F3119" s="252">
        <v>1</v>
      </c>
      <c r="H3119" s="252" t="s">
        <v>453</v>
      </c>
      <c r="I3119" s="434">
        <v>143.97999999999999</v>
      </c>
      <c r="J3119" s="296" t="s">
        <v>1398</v>
      </c>
      <c r="K3119" s="252">
        <f>I3119</f>
        <v>143.97999999999999</v>
      </c>
      <c r="M3119" s="252">
        <v>1</v>
      </c>
      <c r="O3119" s="252" t="s">
        <v>4605</v>
      </c>
      <c r="P3119" s="362">
        <v>17.2</v>
      </c>
      <c r="Q3119" s="296" t="s">
        <v>1398</v>
      </c>
      <c r="R3119" s="252">
        <f>P3119</f>
        <v>17.2</v>
      </c>
      <c r="S3119" s="252">
        <v>10</v>
      </c>
      <c r="T3119" s="252" t="s">
        <v>868</v>
      </c>
      <c r="U3119" s="296" t="s">
        <v>3547</v>
      </c>
      <c r="V3119" s="362">
        <v>82.25</v>
      </c>
      <c r="W3119" s="253" t="s">
        <v>868</v>
      </c>
      <c r="X3119" s="252">
        <f t="shared" si="295"/>
        <v>822.5</v>
      </c>
    </row>
    <row r="3120" spans="6:47" ht="20.25" customHeight="1">
      <c r="F3120" s="252">
        <v>1</v>
      </c>
      <c r="H3120" s="252" t="s">
        <v>1233</v>
      </c>
      <c r="I3120" s="434">
        <v>49.2</v>
      </c>
      <c r="J3120" s="296" t="s">
        <v>1398</v>
      </c>
      <c r="K3120" s="252">
        <f>I3120</f>
        <v>49.2</v>
      </c>
      <c r="M3120" s="252">
        <v>1</v>
      </c>
      <c r="O3120" s="252" t="s">
        <v>4604</v>
      </c>
      <c r="P3120" s="362">
        <v>8.5</v>
      </c>
      <c r="Q3120" s="296" t="s">
        <v>1398</v>
      </c>
      <c r="R3120" s="252">
        <f>P3120</f>
        <v>8.5</v>
      </c>
      <c r="S3120" s="252">
        <v>5</v>
      </c>
      <c r="T3120" s="252" t="s">
        <v>868</v>
      </c>
      <c r="U3120" s="296" t="s">
        <v>3548</v>
      </c>
      <c r="V3120" s="252">
        <f>P3161</f>
        <v>57.65</v>
      </c>
      <c r="W3120" s="253" t="s">
        <v>868</v>
      </c>
      <c r="X3120" s="252">
        <f t="shared" si="295"/>
        <v>288.25</v>
      </c>
    </row>
    <row r="3121" spans="6:24" ht="20.25"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20.25"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20.25"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0.25" customHeight="1">
      <c r="R3124" s="252">
        <f>R3123-87</f>
        <v>51.32</v>
      </c>
      <c r="S3124" s="252"/>
      <c r="U3124" s="253" t="s">
        <v>3551</v>
      </c>
      <c r="W3124" s="253"/>
      <c r="X3124" s="252">
        <f>SUM(X3114:X3122)</f>
        <v>18427.89</v>
      </c>
    </row>
    <row r="3125" spans="6:24" ht="20.25" customHeight="1">
      <c r="S3125" s="252"/>
      <c r="W3125" s="253"/>
      <c r="X3125" s="358" t="s">
        <v>1586</v>
      </c>
    </row>
    <row r="3126" spans="6:24" ht="20.25" customHeight="1">
      <c r="F3126" s="253" t="s">
        <v>462</v>
      </c>
      <c r="G3126" s="252" t="s">
        <v>2251</v>
      </c>
      <c r="H3126" s="296" t="s">
        <v>2177</v>
      </c>
      <c r="S3126" s="252"/>
      <c r="T3126" s="252" t="s">
        <v>975</v>
      </c>
      <c r="U3126" s="255" t="s">
        <v>552</v>
      </c>
      <c r="W3126" s="253"/>
      <c r="X3126" s="274">
        <f>X3124/S3116</f>
        <v>3571.3</v>
      </c>
    </row>
    <row r="3127" spans="6:24" ht="20.25" customHeight="1">
      <c r="H3127" s="296" t="s">
        <v>2179</v>
      </c>
      <c r="S3127" s="252"/>
      <c r="W3127" s="253"/>
      <c r="X3127" s="358" t="s">
        <v>2055</v>
      </c>
    </row>
    <row r="3128" spans="6:24" ht="20.25" customHeight="1">
      <c r="H3128" s="296" t="s">
        <v>2180</v>
      </c>
      <c r="S3128" s="252"/>
      <c r="W3128" s="253"/>
    </row>
    <row r="3129" spans="6:24" ht="20.25" customHeight="1">
      <c r="H3129" s="296" t="s">
        <v>2181</v>
      </c>
      <c r="S3129" s="253"/>
      <c r="U3129" s="296" t="s">
        <v>3552</v>
      </c>
      <c r="W3129" s="253"/>
      <c r="X3129" s="296" t="s">
        <v>975</v>
      </c>
    </row>
    <row r="3130" spans="6:24" ht="20.25" customHeight="1">
      <c r="H3130" s="296" t="s">
        <v>2182</v>
      </c>
      <c r="S3130" s="252"/>
      <c r="U3130" s="358" t="s">
        <v>1586</v>
      </c>
      <c r="W3130" s="253"/>
    </row>
    <row r="3131" spans="6:24" ht="20.25" customHeight="1">
      <c r="H3131" s="296" t="s">
        <v>2183</v>
      </c>
      <c r="S3131" s="400">
        <v>2.7400000000000001E-2</v>
      </c>
      <c r="T3131" s="252" t="s">
        <v>869</v>
      </c>
      <c r="U3131" s="296" t="s">
        <v>3544</v>
      </c>
      <c r="V3131" s="252">
        <f>V3114</f>
        <v>99400</v>
      </c>
      <c r="W3131" s="253" t="s">
        <v>869</v>
      </c>
      <c r="X3131" s="252">
        <f>V3131*S3131</f>
        <v>2723.56</v>
      </c>
    </row>
    <row r="3132" spans="6:24" ht="20.25"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0.25"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0.25"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0.25"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0.25"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0.25"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0.25"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0.25"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0.25" customHeight="1">
      <c r="H3140" s="296" t="s">
        <v>3035</v>
      </c>
      <c r="K3140" s="443">
        <v>1.26</v>
      </c>
      <c r="O3140" s="296" t="s">
        <v>2437</v>
      </c>
      <c r="P3140" s="316">
        <f>1.1*2.05</f>
        <v>2.2549999999999999</v>
      </c>
      <c r="Q3140" s="296" t="s">
        <v>233</v>
      </c>
      <c r="S3140" s="252"/>
      <c r="U3140" s="296"/>
      <c r="W3140" s="253" t="s">
        <v>868</v>
      </c>
      <c r="X3140" s="358" t="s">
        <v>1586</v>
      </c>
    </row>
    <row r="3141" spans="6:24" ht="20.25" customHeight="1">
      <c r="K3141" s="296" t="s">
        <v>975</v>
      </c>
      <c r="O3141" s="296" t="s">
        <v>3791</v>
      </c>
      <c r="P3141" s="400">
        <f>2*2.05*0.075*0.0375</f>
        <v>1.153E-2</v>
      </c>
      <c r="Q3141" s="296" t="s">
        <v>1341</v>
      </c>
      <c r="S3141" s="252"/>
      <c r="U3141" s="253" t="s">
        <v>3553</v>
      </c>
      <c r="W3141" s="253"/>
      <c r="X3141" s="252">
        <f>SUM(X3131:X3139)</f>
        <v>6733.83</v>
      </c>
    </row>
    <row r="3142" spans="6:24" ht="20.25" customHeight="1">
      <c r="K3142" s="443" t="s">
        <v>975</v>
      </c>
      <c r="Q3142" s="296" t="s">
        <v>1586</v>
      </c>
      <c r="S3142" s="252"/>
      <c r="W3142" s="253"/>
      <c r="X3142" s="358" t="s">
        <v>1586</v>
      </c>
    </row>
    <row r="3143" spans="6:24" ht="20.25" customHeight="1">
      <c r="K3143" s="296" t="s">
        <v>975</v>
      </c>
      <c r="O3143" s="296" t="s">
        <v>3792</v>
      </c>
      <c r="P3143" s="400">
        <f>1*3*1.1*0.15*0.0375</f>
        <v>1.856E-2</v>
      </c>
      <c r="Q3143" s="296" t="s">
        <v>1341</v>
      </c>
      <c r="S3143" s="252"/>
      <c r="T3143" s="252" t="s">
        <v>975</v>
      </c>
      <c r="U3143" s="255" t="s">
        <v>552</v>
      </c>
      <c r="W3143" s="253"/>
      <c r="X3143" s="274">
        <f>X3141/S3133</f>
        <v>3870.02</v>
      </c>
    </row>
    <row r="3144" spans="6:24" ht="20.25" customHeight="1">
      <c r="F3144" s="253" t="s">
        <v>1473</v>
      </c>
      <c r="H3144" s="296" t="s">
        <v>1814</v>
      </c>
      <c r="K3144" s="296" t="s">
        <v>975</v>
      </c>
      <c r="O3144" s="296" t="s">
        <v>975</v>
      </c>
      <c r="P3144" s="296" t="s">
        <v>975</v>
      </c>
      <c r="Q3144" s="296"/>
      <c r="R3144" s="443" t="s">
        <v>975</v>
      </c>
      <c r="S3144" s="252"/>
      <c r="W3144" s="253"/>
      <c r="X3144" s="358" t="s">
        <v>2055</v>
      </c>
    </row>
    <row r="3145" spans="6:24" ht="20.25" customHeight="1">
      <c r="H3145" s="358" t="s">
        <v>1586</v>
      </c>
      <c r="Q3145" s="296" t="s">
        <v>975</v>
      </c>
      <c r="R3145" s="296" t="s">
        <v>975</v>
      </c>
      <c r="W3145" s="253"/>
    </row>
    <row r="3146" spans="6:24" ht="20.25"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0.25"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4330</v>
      </c>
      <c r="W3147" s="253"/>
    </row>
    <row r="3148" spans="6:24" ht="20.25"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164" t="s">
        <v>4331</v>
      </c>
      <c r="T3148" s="1164"/>
      <c r="U3148" s="356">
        <f>2*2*0.075*0.0375*1.95</f>
        <v>2.1999999999999999E-2</v>
      </c>
      <c r="W3148" s="253"/>
    </row>
    <row r="3149" spans="6:24" ht="20.25" customHeight="1">
      <c r="F3149" s="316">
        <v>1.845</v>
      </c>
      <c r="G3149" s="252" t="s">
        <v>609</v>
      </c>
      <c r="H3149" s="296" t="s">
        <v>2092</v>
      </c>
      <c r="I3149" s="252">
        <f>D30</f>
        <v>1281</v>
      </c>
      <c r="J3149" s="296" t="s">
        <v>609</v>
      </c>
      <c r="K3149" s="252">
        <f t="shared" si="298"/>
        <v>2363.4499999999998</v>
      </c>
      <c r="Q3149" s="296"/>
      <c r="R3149" s="443" t="s">
        <v>975</v>
      </c>
      <c r="S3149" s="356" t="s">
        <v>4332</v>
      </c>
      <c r="U3149" s="400">
        <f>2*2*0.065*0.075*0.375</f>
        <v>7.3099999999999997E-3</v>
      </c>
      <c r="W3149" s="253"/>
    </row>
    <row r="3150" spans="6:24" ht="20.25" customHeight="1">
      <c r="F3150" s="252">
        <v>2</v>
      </c>
      <c r="G3150" s="252" t="s">
        <v>868</v>
      </c>
      <c r="H3150" s="296" t="s">
        <v>2093</v>
      </c>
      <c r="I3150" s="252">
        <f>C284</f>
        <v>64.8</v>
      </c>
      <c r="J3150" s="296" t="s">
        <v>868</v>
      </c>
      <c r="K3150" s="252">
        <f t="shared" si="298"/>
        <v>129.6</v>
      </c>
      <c r="Q3150" s="296"/>
      <c r="R3150" s="296" t="s">
        <v>975</v>
      </c>
      <c r="U3150" s="537">
        <f>SUM(U3148:U3149)</f>
        <v>2.93E-2</v>
      </c>
      <c r="V3150" s="252" t="s">
        <v>4333</v>
      </c>
      <c r="W3150" s="253"/>
    </row>
    <row r="3151" spans="6:24" ht="20.25"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4334</v>
      </c>
      <c r="U3151" s="356">
        <f>2*0.65*1.95</f>
        <v>2.5350000000000001</v>
      </c>
      <c r="V3151" s="252" t="s">
        <v>915</v>
      </c>
      <c r="W3151" s="253"/>
    </row>
    <row r="3152" spans="6:24" ht="20.25" customHeight="1">
      <c r="F3152" s="252">
        <v>1</v>
      </c>
      <c r="G3152" s="252" t="s">
        <v>868</v>
      </c>
      <c r="H3152" s="296" t="s">
        <v>1979</v>
      </c>
      <c r="I3152" s="252">
        <f>C286</f>
        <v>181</v>
      </c>
      <c r="J3152" s="296" t="s">
        <v>868</v>
      </c>
      <c r="K3152" s="252">
        <f t="shared" si="298"/>
        <v>181</v>
      </c>
      <c r="O3152" s="358" t="s">
        <v>1586</v>
      </c>
      <c r="Q3152" s="296"/>
      <c r="S3152" s="356" t="s">
        <v>4335</v>
      </c>
      <c r="U3152" s="356">
        <f>1*2*0.525*1.825</f>
        <v>1.9159999999999999</v>
      </c>
      <c r="V3152" s="252" t="s">
        <v>4336</v>
      </c>
      <c r="W3152" s="253"/>
    </row>
    <row r="3153" spans="6:24" ht="20.25"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4337</v>
      </c>
      <c r="U3153" s="356">
        <f>2*2*(0.525+1.825)</f>
        <v>9.4</v>
      </c>
      <c r="V3153" s="252" t="s">
        <v>4338</v>
      </c>
      <c r="W3153" s="253"/>
    </row>
    <row r="3154" spans="6:24" ht="20.25"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0.25"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0.25"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0.25"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0.25"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0.25"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0.25"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0.25"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0.25"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0.25"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0.25"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0.25" customHeight="1">
      <c r="N3165" s="252" t="s">
        <v>975</v>
      </c>
      <c r="Q3165" s="296"/>
      <c r="R3165" s="358" t="s">
        <v>1586</v>
      </c>
      <c r="S3165" s="252"/>
      <c r="U3165" s="296"/>
      <c r="W3165" s="253" t="s">
        <v>868</v>
      </c>
      <c r="X3165" s="358" t="s">
        <v>1586</v>
      </c>
    </row>
    <row r="3166" spans="6:24" ht="20.25" customHeight="1">
      <c r="H3166" s="252" t="s">
        <v>4244</v>
      </c>
      <c r="J3166" s="252"/>
      <c r="O3166" s="255" t="s">
        <v>552</v>
      </c>
      <c r="Q3166" s="296"/>
      <c r="R3166" s="274">
        <f>R3164/M3156</f>
        <v>3316.04</v>
      </c>
      <c r="S3166" s="252"/>
      <c r="U3166" s="255" t="s">
        <v>4339</v>
      </c>
      <c r="W3166" s="253"/>
      <c r="X3166" s="252">
        <f>SUM(X3156:X3164)</f>
        <v>3029.79</v>
      </c>
    </row>
    <row r="3167" spans="6:24" ht="20.25" customHeight="1">
      <c r="J3167" s="252"/>
      <c r="Q3167" s="296"/>
      <c r="R3167" s="358" t="s">
        <v>2055</v>
      </c>
      <c r="S3167" s="252"/>
      <c r="W3167" s="253"/>
      <c r="X3167" s="358" t="s">
        <v>1586</v>
      </c>
    </row>
    <row r="3168" spans="6:24" ht="20.25"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0.25" customHeight="1">
      <c r="F3169" s="252">
        <v>0.5</v>
      </c>
      <c r="G3169" s="252" t="s">
        <v>258</v>
      </c>
      <c r="H3169" s="252" t="s">
        <v>3037</v>
      </c>
      <c r="I3169" s="252">
        <f>I1506</f>
        <v>797</v>
      </c>
      <c r="J3169" s="252" t="s">
        <v>258</v>
      </c>
      <c r="K3169" s="252">
        <f>I3169*F3169</f>
        <v>398.5</v>
      </c>
      <c r="S3169" s="252"/>
      <c r="W3169" s="253"/>
      <c r="X3169" s="358" t="s">
        <v>2055</v>
      </c>
    </row>
    <row r="3170" spans="6:24" ht="20.25"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0.25" customHeight="1">
      <c r="F3171" s="252">
        <v>0.8</v>
      </c>
      <c r="G3171" s="252" t="s">
        <v>258</v>
      </c>
      <c r="H3171" s="296" t="s">
        <v>320</v>
      </c>
      <c r="I3171" s="252">
        <f>I1508</f>
        <v>534</v>
      </c>
      <c r="J3171" s="252" t="s">
        <v>258</v>
      </c>
      <c r="K3171" s="252">
        <f>I3171*F3171</f>
        <v>427.2</v>
      </c>
      <c r="O3171" s="296" t="s">
        <v>256</v>
      </c>
      <c r="Q3171" s="253"/>
      <c r="W3171" s="253"/>
    </row>
    <row r="3172" spans="6:24" ht="20.25" customHeight="1">
      <c r="F3172" s="252">
        <v>10</v>
      </c>
      <c r="G3172" s="252" t="s">
        <v>2283</v>
      </c>
      <c r="H3172" s="296" t="s">
        <v>3866</v>
      </c>
      <c r="I3172" s="252">
        <f>C460</f>
        <v>0</v>
      </c>
      <c r="J3172" s="252" t="s">
        <v>2283</v>
      </c>
      <c r="K3172" s="252">
        <f>I3172*F3172</f>
        <v>0</v>
      </c>
      <c r="O3172" s="515" t="s">
        <v>2816</v>
      </c>
      <c r="Q3172" s="253"/>
      <c r="W3172" s="253"/>
    </row>
    <row r="3173" spans="6:24" ht="20.25" customHeight="1">
      <c r="H3173" s="296" t="s">
        <v>3039</v>
      </c>
      <c r="I3173" s="407" t="s">
        <v>657</v>
      </c>
      <c r="J3173" s="253"/>
      <c r="K3173" s="252">
        <v>1.75</v>
      </c>
      <c r="O3173" s="358" t="s">
        <v>1586</v>
      </c>
      <c r="Q3173" s="253"/>
      <c r="W3173" s="253"/>
    </row>
    <row r="3174" spans="6:24" ht="20.25" customHeight="1">
      <c r="J3174" s="253"/>
      <c r="K3174" s="252">
        <f>SUM(K3168:K3173)</f>
        <v>1313.97</v>
      </c>
      <c r="O3174" s="296" t="s">
        <v>3258</v>
      </c>
      <c r="P3174" s="407" t="s">
        <v>2055</v>
      </c>
      <c r="Q3174" s="462">
        <v>3.1219999999999999</v>
      </c>
      <c r="R3174" s="252" t="s">
        <v>2283</v>
      </c>
      <c r="W3174" s="253"/>
    </row>
    <row r="3175" spans="6:24" ht="20.25" customHeight="1">
      <c r="J3175" s="253"/>
      <c r="K3175" s="252">
        <f>K3174/10</f>
        <v>131.4</v>
      </c>
      <c r="O3175" s="296"/>
      <c r="P3175" s="407"/>
      <c r="Q3175" s="462"/>
      <c r="W3175" s="253"/>
    </row>
    <row r="3176" spans="6:24" ht="20.25" customHeight="1">
      <c r="J3176" s="252"/>
      <c r="L3176" s="252">
        <f>K3210</f>
        <v>317.74</v>
      </c>
      <c r="O3176" s="296" t="s">
        <v>6138</v>
      </c>
      <c r="P3176" s="407" t="s">
        <v>2055</v>
      </c>
      <c r="Q3176" s="538">
        <v>5.1999999999999998E-2</v>
      </c>
      <c r="R3176" s="252" t="s">
        <v>2151</v>
      </c>
      <c r="W3176" s="253"/>
    </row>
    <row r="3177" spans="6:24" ht="20.25" customHeight="1">
      <c r="J3177" s="252"/>
      <c r="L3177" s="252">
        <f>K3211</f>
        <v>557.9</v>
      </c>
      <c r="O3177" s="296" t="s">
        <v>3259</v>
      </c>
      <c r="Q3177" s="407"/>
      <c r="W3177" s="253"/>
    </row>
    <row r="3178" spans="6:24" ht="20.25" customHeight="1">
      <c r="J3178" s="252"/>
      <c r="O3178" s="296" t="s">
        <v>3260</v>
      </c>
      <c r="P3178" s="407" t="s">
        <v>2055</v>
      </c>
      <c r="Q3178" s="578">
        <v>2.2780000000000002E-2</v>
      </c>
      <c r="W3178" s="253"/>
    </row>
    <row r="3179" spans="6:24" ht="20.25" customHeight="1">
      <c r="H3179" s="252" t="s">
        <v>4245</v>
      </c>
      <c r="J3179" s="252"/>
      <c r="L3179" s="252">
        <v>1.5</v>
      </c>
      <c r="O3179" s="296" t="s">
        <v>2817</v>
      </c>
      <c r="P3179" s="407" t="s">
        <v>2055</v>
      </c>
      <c r="Q3179" s="578">
        <v>1.013E-2</v>
      </c>
      <c r="R3179" s="400"/>
      <c r="W3179" s="253"/>
    </row>
    <row r="3180" spans="6:24" ht="20.25" customHeight="1">
      <c r="J3180" s="252"/>
      <c r="L3180" s="252">
        <f>SUM(L3176:L3179)</f>
        <v>877.14</v>
      </c>
      <c r="Q3180" s="358" t="s">
        <v>1586</v>
      </c>
      <c r="W3180" s="253"/>
    </row>
    <row r="3181" spans="6:24" ht="20.25" customHeight="1">
      <c r="F3181" s="252">
        <v>1.8</v>
      </c>
      <c r="G3181" s="252" t="s">
        <v>913</v>
      </c>
      <c r="H3181" s="252" t="s">
        <v>3036</v>
      </c>
      <c r="I3181" s="252">
        <f>I3168</f>
        <v>49.85</v>
      </c>
      <c r="J3181" s="252" t="s">
        <v>913</v>
      </c>
      <c r="K3181" s="252">
        <f>I3181*F3181</f>
        <v>89.73</v>
      </c>
      <c r="Q3181" s="579">
        <v>3.2910000000000002E-2</v>
      </c>
      <c r="R3181" s="252" t="s">
        <v>2151</v>
      </c>
      <c r="W3181" s="253"/>
    </row>
    <row r="3182" spans="6:24" ht="20.25" customHeight="1">
      <c r="F3182" s="252">
        <v>0.25</v>
      </c>
      <c r="G3182" s="252" t="s">
        <v>258</v>
      </c>
      <c r="H3182" s="252" t="s">
        <v>3037</v>
      </c>
      <c r="I3182" s="252">
        <f>I3169</f>
        <v>797</v>
      </c>
      <c r="J3182" s="252" t="s">
        <v>258</v>
      </c>
      <c r="K3182" s="252">
        <f>I3182*F3182</f>
        <v>199.25</v>
      </c>
      <c r="L3182" s="252">
        <f>L3180/10</f>
        <v>87.71</v>
      </c>
      <c r="Q3182" s="358" t="s">
        <v>1586</v>
      </c>
      <c r="W3182" s="253"/>
    </row>
    <row r="3183" spans="6:24" ht="20.25" customHeight="1">
      <c r="F3183" s="252">
        <v>0.25</v>
      </c>
      <c r="G3183" s="252" t="s">
        <v>258</v>
      </c>
      <c r="H3183" s="296" t="s">
        <v>1902</v>
      </c>
      <c r="I3183" s="252">
        <f>I3170</f>
        <v>651</v>
      </c>
      <c r="J3183" s="252" t="s">
        <v>258</v>
      </c>
      <c r="K3183" s="252">
        <f>I3183*F3183</f>
        <v>162.75</v>
      </c>
      <c r="O3183" s="296" t="s">
        <v>3261</v>
      </c>
      <c r="Q3183" s="580">
        <v>1.7600000000000001E-2</v>
      </c>
      <c r="R3183" s="400"/>
      <c r="W3183" s="253"/>
    </row>
    <row r="3184" spans="6:24" ht="20.25" customHeight="1">
      <c r="F3184" s="252">
        <v>0.4</v>
      </c>
      <c r="G3184" s="252" t="s">
        <v>258</v>
      </c>
      <c r="H3184" s="296" t="s">
        <v>320</v>
      </c>
      <c r="I3184" s="252">
        <f>I3171</f>
        <v>534</v>
      </c>
      <c r="J3184" s="252" t="s">
        <v>258</v>
      </c>
      <c r="K3184" s="252">
        <f>I3184*F3184</f>
        <v>213.6</v>
      </c>
      <c r="O3184" s="296" t="s">
        <v>3262</v>
      </c>
      <c r="Q3184" s="580">
        <v>8.3999999999999995E-3</v>
      </c>
      <c r="R3184" s="400"/>
      <c r="W3184" s="253"/>
    </row>
    <row r="3185" spans="6:23" ht="20.25" customHeight="1">
      <c r="F3185" s="252">
        <v>10</v>
      </c>
      <c r="G3185" s="252" t="s">
        <v>2283</v>
      </c>
      <c r="H3185" s="296" t="s">
        <v>3038</v>
      </c>
      <c r="I3185" s="252">
        <f>I3172</f>
        <v>0</v>
      </c>
      <c r="J3185" s="252" t="s">
        <v>2283</v>
      </c>
      <c r="K3185" s="252">
        <f>I3185*F3185</f>
        <v>0</v>
      </c>
      <c r="O3185" s="296"/>
      <c r="Q3185" s="358" t="s">
        <v>1586</v>
      </c>
      <c r="R3185" s="400"/>
      <c r="W3185" s="253"/>
    </row>
    <row r="3186" spans="6:23" ht="20.25" customHeight="1">
      <c r="H3186" s="296" t="s">
        <v>3039</v>
      </c>
      <c r="I3186" s="407" t="s">
        <v>3040</v>
      </c>
      <c r="J3186" s="253"/>
      <c r="K3186" s="252">
        <v>1.6</v>
      </c>
      <c r="O3186" s="296"/>
      <c r="Q3186" s="538">
        <v>2.5999999999999999E-2</v>
      </c>
      <c r="R3186" s="400" t="s">
        <v>2151</v>
      </c>
      <c r="W3186" s="253"/>
    </row>
    <row r="3187" spans="6:23" ht="20.25" customHeight="1">
      <c r="J3187" s="253"/>
      <c r="K3187" s="252">
        <f>SUM(K3181:K3186)</f>
        <v>666.93</v>
      </c>
      <c r="Q3187" s="358" t="s">
        <v>1586</v>
      </c>
      <c r="R3187" s="358"/>
      <c r="W3187" s="253"/>
    </row>
    <row r="3188" spans="6:23" ht="20.25" customHeight="1">
      <c r="J3188" s="253"/>
      <c r="K3188" s="252">
        <f>K3187/10</f>
        <v>66.69</v>
      </c>
      <c r="M3188" s="400">
        <v>5.1999999999999998E-2</v>
      </c>
      <c r="N3188" s="252" t="s">
        <v>869</v>
      </c>
      <c r="O3188" s="296" t="s">
        <v>308</v>
      </c>
      <c r="P3188" s="252">
        <f>AC26</f>
        <v>111600</v>
      </c>
      <c r="Q3188" s="253" t="s">
        <v>869</v>
      </c>
      <c r="R3188" s="252">
        <f>P3188*M3188</f>
        <v>5803.2</v>
      </c>
      <c r="W3188" s="253"/>
    </row>
    <row r="3189" spans="6:23" ht="20.25" customHeight="1">
      <c r="J3189" s="252"/>
      <c r="M3189" s="400">
        <v>3.2910000000000002E-2</v>
      </c>
      <c r="N3189" s="252" t="s">
        <v>869</v>
      </c>
      <c r="O3189" s="296" t="s">
        <v>309</v>
      </c>
      <c r="P3189" s="252">
        <f>AC27</f>
        <v>99400</v>
      </c>
      <c r="Q3189" s="253" t="s">
        <v>869</v>
      </c>
      <c r="R3189" s="252">
        <f t="shared" ref="R3189:R3199" si="303">P3189*M3189</f>
        <v>3271.25</v>
      </c>
      <c r="W3189" s="253"/>
    </row>
    <row r="3190" spans="6:23" ht="20.25" customHeight="1">
      <c r="J3190" s="252"/>
      <c r="M3190" s="400">
        <v>2.5999999999999999E-2</v>
      </c>
      <c r="N3190" s="252" t="s">
        <v>869</v>
      </c>
      <c r="O3190" s="296" t="s">
        <v>3263</v>
      </c>
      <c r="P3190" s="362">
        <v>107000</v>
      </c>
      <c r="Q3190" s="253" t="s">
        <v>869</v>
      </c>
      <c r="R3190" s="252">
        <f t="shared" si="303"/>
        <v>2782</v>
      </c>
      <c r="W3190" s="253"/>
    </row>
    <row r="3191" spans="6:23" ht="20.25" customHeight="1">
      <c r="J3191" s="252"/>
      <c r="L3191" s="252">
        <f>K3225</f>
        <v>530.36</v>
      </c>
      <c r="M3191" s="316"/>
      <c r="O3191" s="296" t="s">
        <v>3910</v>
      </c>
      <c r="Q3191" s="253"/>
      <c r="R3191" s="252">
        <f t="shared" si="303"/>
        <v>0</v>
      </c>
      <c r="W3191" s="253"/>
    </row>
    <row r="3192" spans="6:23" ht="20.25"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0.25" customHeight="1">
      <c r="H3193" s="252" t="s">
        <v>1045</v>
      </c>
      <c r="J3193" s="252"/>
      <c r="M3193" s="252">
        <v>4</v>
      </c>
      <c r="N3193" s="252" t="s">
        <v>769</v>
      </c>
      <c r="O3193" s="296" t="s">
        <v>3264</v>
      </c>
      <c r="P3193" s="252">
        <f>I2637</f>
        <v>254.5</v>
      </c>
      <c r="Q3193" s="253" t="s">
        <v>868</v>
      </c>
      <c r="R3193" s="252">
        <f t="shared" si="303"/>
        <v>1018</v>
      </c>
      <c r="W3193" s="253"/>
    </row>
    <row r="3194" spans="6:23" ht="20.25"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0.25" customHeight="1">
      <c r="J3195" s="252"/>
      <c r="L3195" s="252">
        <f>SUM(L3191:L3194)</f>
        <v>1493.41</v>
      </c>
      <c r="M3195" s="252">
        <v>4</v>
      </c>
      <c r="N3195" s="252" t="s">
        <v>868</v>
      </c>
      <c r="O3195" s="406" t="s">
        <v>5343</v>
      </c>
      <c r="P3195" s="362">
        <v>97.85</v>
      </c>
      <c r="Q3195" s="253" t="s">
        <v>868</v>
      </c>
      <c r="R3195" s="252">
        <f t="shared" si="303"/>
        <v>391.4</v>
      </c>
      <c r="W3195" s="253"/>
    </row>
    <row r="3196" spans="6:23" ht="20.25" customHeight="1">
      <c r="F3196" s="252">
        <v>1.1100000000000001</v>
      </c>
      <c r="G3196" s="252" t="s">
        <v>2570</v>
      </c>
      <c r="H3196" s="252" t="s">
        <v>1180</v>
      </c>
      <c r="I3196" s="252">
        <f>I1547</f>
        <v>227.6</v>
      </c>
      <c r="J3196" s="252" t="s">
        <v>2570</v>
      </c>
      <c r="K3196" s="252">
        <f>I3196*F3196</f>
        <v>252.64</v>
      </c>
      <c r="M3196" s="252">
        <v>1</v>
      </c>
      <c r="N3196" s="252" t="s">
        <v>868</v>
      </c>
      <c r="O3196" s="406" t="s">
        <v>5344</v>
      </c>
      <c r="P3196" s="362">
        <v>209.9</v>
      </c>
      <c r="Q3196" s="253" t="s">
        <v>868</v>
      </c>
      <c r="R3196" s="252">
        <f t="shared" si="303"/>
        <v>209.9</v>
      </c>
      <c r="W3196" s="253"/>
    </row>
    <row r="3197" spans="6:23" ht="20.25" customHeight="1">
      <c r="F3197" s="252">
        <v>0.7</v>
      </c>
      <c r="G3197" s="252" t="s">
        <v>258</v>
      </c>
      <c r="H3197" s="252" t="s">
        <v>1179</v>
      </c>
      <c r="I3197" s="252">
        <f>I3182</f>
        <v>797</v>
      </c>
      <c r="J3197" s="252" t="s">
        <v>258</v>
      </c>
      <c r="K3197" s="252">
        <f>I3197*F3197</f>
        <v>557.9</v>
      </c>
      <c r="L3197" s="252">
        <f>L3195/10</f>
        <v>149.34</v>
      </c>
      <c r="M3197" s="252">
        <v>2</v>
      </c>
      <c r="N3197" s="252" t="s">
        <v>868</v>
      </c>
      <c r="O3197" s="406" t="s">
        <v>5345</v>
      </c>
      <c r="P3197" s="362">
        <v>23.1</v>
      </c>
      <c r="Q3197" s="253" t="s">
        <v>868</v>
      </c>
      <c r="R3197" s="252">
        <f t="shared" si="303"/>
        <v>46.2</v>
      </c>
      <c r="W3197" s="253"/>
    </row>
    <row r="3198" spans="6:23" ht="20.25" customHeight="1">
      <c r="F3198" s="252">
        <v>10</v>
      </c>
      <c r="G3198" s="252" t="s">
        <v>2283</v>
      </c>
      <c r="H3198" s="534" t="s">
        <v>5346</v>
      </c>
      <c r="I3198" s="370">
        <f>AE54</f>
        <v>0</v>
      </c>
      <c r="J3198" s="252" t="s">
        <v>2283</v>
      </c>
      <c r="K3198" s="252">
        <f>I3198*F3198</f>
        <v>0</v>
      </c>
      <c r="M3198" s="252">
        <v>2</v>
      </c>
      <c r="N3198" s="252" t="s">
        <v>868</v>
      </c>
      <c r="O3198" s="406" t="s">
        <v>5347</v>
      </c>
      <c r="P3198" s="362">
        <v>49.55</v>
      </c>
      <c r="Q3198" s="253" t="s">
        <v>868</v>
      </c>
      <c r="R3198" s="252">
        <f t="shared" si="303"/>
        <v>99.1</v>
      </c>
      <c r="S3198" s="356">
        <f>0.42*3.122</f>
        <v>1.3109999999999999</v>
      </c>
      <c r="T3198" s="252">
        <f>S3198+19.79</f>
        <v>21.1</v>
      </c>
      <c r="W3198" s="253"/>
    </row>
    <row r="3199" spans="6:23" ht="20.25"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0.25" customHeight="1">
      <c r="H3200" s="252" t="s">
        <v>441</v>
      </c>
      <c r="J3200" s="253"/>
      <c r="K3200" s="252">
        <f>SUM(K3196:K3199)</f>
        <v>813.34</v>
      </c>
      <c r="Q3200" s="253"/>
      <c r="R3200" s="358" t="s">
        <v>1586</v>
      </c>
      <c r="W3200" s="253"/>
    </row>
    <row r="3201" spans="6:23" ht="20.25" customHeight="1">
      <c r="J3201" s="253"/>
      <c r="O3201" s="296" t="s">
        <v>3269</v>
      </c>
      <c r="Q3201" s="253"/>
      <c r="R3201" s="252">
        <f>SUM(R3188:R3199)</f>
        <v>19420.740000000002</v>
      </c>
      <c r="W3201" s="253"/>
    </row>
    <row r="3202" spans="6:23" ht="20.25" customHeight="1">
      <c r="H3202" s="252" t="s">
        <v>552</v>
      </c>
      <c r="J3202" s="253"/>
      <c r="K3202" s="252">
        <f>K3200/10</f>
        <v>81.33</v>
      </c>
      <c r="Q3202" s="253"/>
      <c r="R3202" s="358" t="s">
        <v>1586</v>
      </c>
      <c r="W3202" s="253"/>
    </row>
    <row r="3203" spans="6:23" ht="20.25" customHeight="1">
      <c r="J3203" s="253"/>
      <c r="O3203" s="276" t="s">
        <v>552</v>
      </c>
      <c r="Q3203" s="360" t="s">
        <v>721</v>
      </c>
      <c r="R3203" s="274">
        <f>R3201/M3192</f>
        <v>6220.61</v>
      </c>
      <c r="W3203" s="253"/>
    </row>
    <row r="3204" spans="6:23" ht="20.25" customHeight="1">
      <c r="J3204" s="253"/>
      <c r="M3204" s="253"/>
      <c r="N3204" s="252" t="s">
        <v>2251</v>
      </c>
      <c r="O3204" s="296" t="s">
        <v>3270</v>
      </c>
      <c r="Q3204" s="253"/>
      <c r="W3204" s="253"/>
    </row>
    <row r="3205" spans="6:23" ht="20.25" customHeight="1">
      <c r="J3205" s="253"/>
      <c r="O3205" s="296" t="s">
        <v>256</v>
      </c>
      <c r="Q3205" s="253"/>
      <c r="W3205" s="253"/>
    </row>
    <row r="3206" spans="6:23" ht="20.25" customHeight="1">
      <c r="H3206" s="252" t="s">
        <v>3041</v>
      </c>
      <c r="J3206" s="253"/>
      <c r="O3206" s="515" t="s">
        <v>2816</v>
      </c>
      <c r="Q3206" s="253"/>
      <c r="W3206" s="253"/>
    </row>
    <row r="3207" spans="6:23" ht="20.25" customHeight="1">
      <c r="H3207" s="252" t="s">
        <v>1376</v>
      </c>
      <c r="J3207" s="253"/>
      <c r="L3207" s="252">
        <f>K3241</f>
        <v>430.16</v>
      </c>
      <c r="O3207" s="358" t="s">
        <v>1586</v>
      </c>
      <c r="Q3207" s="253"/>
      <c r="W3207" s="253"/>
    </row>
    <row r="3208" spans="6:23" ht="20.25" customHeight="1">
      <c r="H3208" s="252" t="s">
        <v>1237</v>
      </c>
      <c r="J3208" s="253"/>
      <c r="L3208" s="252">
        <f>K3242</f>
        <v>876.7</v>
      </c>
      <c r="O3208" s="296" t="s">
        <v>3258</v>
      </c>
      <c r="P3208" s="407" t="s">
        <v>2055</v>
      </c>
      <c r="Q3208" s="462">
        <v>3.1219999999999999</v>
      </c>
      <c r="R3208" s="296" t="s">
        <v>2283</v>
      </c>
      <c r="W3208" s="253"/>
    </row>
    <row r="3209" spans="6:23" ht="20.25" customHeight="1">
      <c r="J3209" s="253"/>
      <c r="O3209" s="296"/>
      <c r="P3209" s="407"/>
      <c r="Q3209" s="462"/>
      <c r="R3209" s="296"/>
      <c r="W3209" s="253"/>
    </row>
    <row r="3210" spans="6:23" ht="20.25" customHeight="1">
      <c r="F3210" s="252">
        <v>1.33</v>
      </c>
      <c r="G3210" s="252" t="s">
        <v>2570</v>
      </c>
      <c r="H3210" s="252" t="s">
        <v>1180</v>
      </c>
      <c r="I3210" s="252">
        <f>I1534</f>
        <v>238.9</v>
      </c>
      <c r="J3210" s="252" t="s">
        <v>2570</v>
      </c>
      <c r="K3210" s="252">
        <f>I3210*F3210</f>
        <v>317.74</v>
      </c>
      <c r="L3210" s="252">
        <f>K3244</f>
        <v>1.9</v>
      </c>
      <c r="O3210" s="296" t="s">
        <v>6138</v>
      </c>
      <c r="P3210" s="407" t="s">
        <v>2055</v>
      </c>
      <c r="Q3210" s="538">
        <v>5.1999999999999998E-2</v>
      </c>
      <c r="R3210" s="296" t="s">
        <v>2151</v>
      </c>
      <c r="W3210" s="253"/>
    </row>
    <row r="3211" spans="6:23" ht="20.25"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0.25" customHeight="1">
      <c r="F3212" s="252">
        <v>10</v>
      </c>
      <c r="G3212" s="252" t="s">
        <v>2283</v>
      </c>
      <c r="H3212" s="422" t="s">
        <v>4598</v>
      </c>
      <c r="I3212" s="370">
        <f>AE55</f>
        <v>0</v>
      </c>
      <c r="J3212" s="252" t="s">
        <v>2283</v>
      </c>
      <c r="K3212" s="252">
        <f>I3212*F3212</f>
        <v>0</v>
      </c>
      <c r="O3212" s="296" t="s">
        <v>3384</v>
      </c>
      <c r="P3212" s="407" t="s">
        <v>2055</v>
      </c>
      <c r="Q3212" s="578">
        <v>2.2780000000000002E-2</v>
      </c>
      <c r="R3212" s="296"/>
      <c r="W3212" s="253"/>
    </row>
    <row r="3213" spans="6:23" ht="20.25" customHeight="1">
      <c r="H3213" s="252" t="s">
        <v>3039</v>
      </c>
      <c r="I3213" s="252" t="s">
        <v>657</v>
      </c>
      <c r="J3213" s="253"/>
      <c r="K3213" s="252">
        <v>3.43</v>
      </c>
      <c r="O3213" s="296" t="s">
        <v>2817</v>
      </c>
      <c r="P3213" s="407" t="s">
        <v>2055</v>
      </c>
      <c r="Q3213" s="578">
        <v>1.013E-2</v>
      </c>
      <c r="R3213" s="443"/>
      <c r="W3213" s="253"/>
    </row>
    <row r="3214" spans="6:23" ht="20.25" customHeight="1">
      <c r="H3214" s="252" t="s">
        <v>441</v>
      </c>
      <c r="J3214" s="253"/>
      <c r="K3214" s="252">
        <f>SUM(K3210:K3213)</f>
        <v>879.07</v>
      </c>
      <c r="Q3214" s="581" t="s">
        <v>3053</v>
      </c>
      <c r="R3214" s="296"/>
      <c r="W3214" s="253"/>
    </row>
    <row r="3215" spans="6:23" ht="20.25" customHeight="1">
      <c r="J3215" s="253"/>
      <c r="Q3215" s="579">
        <v>3.2910000000000002E-2</v>
      </c>
      <c r="R3215" s="296" t="s">
        <v>2151</v>
      </c>
      <c r="W3215" s="253"/>
    </row>
    <row r="3216" spans="6:23" ht="20.25" customHeight="1">
      <c r="H3216" s="252" t="s">
        <v>552</v>
      </c>
      <c r="J3216" s="253"/>
      <c r="K3216" s="252">
        <f>K3214/10</f>
        <v>87.91</v>
      </c>
      <c r="Q3216" s="581" t="s">
        <v>3053</v>
      </c>
      <c r="R3216" s="296"/>
      <c r="W3216" s="253"/>
    </row>
    <row r="3217" spans="6:23" ht="20.25" customHeight="1">
      <c r="J3217" s="253"/>
      <c r="O3217" s="296" t="s">
        <v>3272</v>
      </c>
      <c r="Q3217" s="538">
        <v>0.94</v>
      </c>
      <c r="R3217" s="443" t="s">
        <v>2283</v>
      </c>
      <c r="W3217" s="253"/>
    </row>
    <row r="3218" spans="6:23" ht="20.25" customHeight="1">
      <c r="J3218" s="253"/>
      <c r="O3218" s="296" t="s">
        <v>3271</v>
      </c>
      <c r="Q3218" s="538">
        <v>8.3999999999999995E-3</v>
      </c>
      <c r="R3218" s="443" t="s">
        <v>2151</v>
      </c>
      <c r="W3218" s="253"/>
    </row>
    <row r="3219" spans="6:23" ht="20.25" customHeight="1">
      <c r="J3219" s="253"/>
      <c r="O3219" s="296" t="s">
        <v>3274</v>
      </c>
      <c r="Q3219" s="538">
        <v>7.9</v>
      </c>
      <c r="R3219" s="443" t="s">
        <v>826</v>
      </c>
      <c r="W3219" s="253"/>
    </row>
    <row r="3220" spans="6:23" ht="20.25" customHeight="1">
      <c r="J3220" s="253"/>
      <c r="Q3220" s="358"/>
      <c r="R3220" s="358"/>
      <c r="W3220" s="253"/>
    </row>
    <row r="3221" spans="6:23" ht="20.25" customHeight="1">
      <c r="H3221" s="252" t="s">
        <v>2571</v>
      </c>
      <c r="J3221" s="253"/>
      <c r="M3221" s="400">
        <v>5.1999999999999998E-2</v>
      </c>
      <c r="N3221" s="252" t="s">
        <v>869</v>
      </c>
      <c r="O3221" s="296" t="s">
        <v>308</v>
      </c>
      <c r="P3221" s="252">
        <f>P3188</f>
        <v>111600</v>
      </c>
      <c r="Q3221" s="253" t="s">
        <v>869</v>
      </c>
      <c r="R3221" s="252">
        <f>P3221*M3221</f>
        <v>5803.2</v>
      </c>
      <c r="W3221" s="253"/>
    </row>
    <row r="3222" spans="6:23" ht="20.25"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0.25"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0.25" customHeight="1">
      <c r="J3224" s="253"/>
      <c r="M3224" s="316"/>
      <c r="O3224" s="296" t="s">
        <v>3530</v>
      </c>
      <c r="Q3224" s="253"/>
      <c r="R3224" s="252">
        <f t="shared" si="304"/>
        <v>0</v>
      </c>
      <c r="W3224" s="253"/>
    </row>
    <row r="3225" spans="6:23" ht="20.25" customHeight="1">
      <c r="F3225" s="252">
        <v>2.2200000000000002</v>
      </c>
      <c r="G3225" s="252" t="s">
        <v>2570</v>
      </c>
      <c r="H3225" s="252" t="s">
        <v>1180</v>
      </c>
      <c r="I3225" s="252">
        <f>I3210</f>
        <v>238.9</v>
      </c>
      <c r="J3225" s="252" t="s">
        <v>2570</v>
      </c>
      <c r="K3225" s="252">
        <f>I3225*F3225</f>
        <v>530.36</v>
      </c>
      <c r="M3225" s="316">
        <v>0.94</v>
      </c>
      <c r="N3225" s="252" t="s">
        <v>609</v>
      </c>
      <c r="O3225" s="393" t="s">
        <v>5348</v>
      </c>
      <c r="P3225" s="362">
        <v>562.5</v>
      </c>
      <c r="Q3225" s="253" t="s">
        <v>609</v>
      </c>
      <c r="R3225" s="252">
        <f t="shared" si="304"/>
        <v>528.75</v>
      </c>
      <c r="W3225" s="253"/>
    </row>
    <row r="3226" spans="6:23" ht="20.25" customHeight="1">
      <c r="F3226" s="252">
        <v>1.2</v>
      </c>
      <c r="G3226" s="252" t="s">
        <v>258</v>
      </c>
      <c r="H3226" s="252" t="s">
        <v>1179</v>
      </c>
      <c r="I3226" s="252">
        <f>I3211</f>
        <v>797</v>
      </c>
      <c r="J3226" s="252" t="s">
        <v>258</v>
      </c>
      <c r="K3226" s="252">
        <f>I3226*F3226</f>
        <v>956.4</v>
      </c>
      <c r="M3226" s="316">
        <v>7.9</v>
      </c>
      <c r="N3226" s="252" t="s">
        <v>1771</v>
      </c>
      <c r="O3226" s="393" t="s">
        <v>5349</v>
      </c>
      <c r="P3226" s="362">
        <v>15.45</v>
      </c>
      <c r="Q3226" s="253" t="s">
        <v>826</v>
      </c>
      <c r="R3226" s="252">
        <f t="shared" si="304"/>
        <v>122.06</v>
      </c>
      <c r="W3226" s="253"/>
    </row>
    <row r="3227" spans="6:23" ht="20.25" customHeight="1">
      <c r="F3227" s="252">
        <v>10</v>
      </c>
      <c r="G3227" s="252" t="s">
        <v>2283</v>
      </c>
      <c r="H3227" s="252" t="s">
        <v>3038</v>
      </c>
      <c r="I3227" s="252">
        <f>I3212</f>
        <v>0</v>
      </c>
      <c r="J3227" s="252" t="s">
        <v>2283</v>
      </c>
      <c r="K3227" s="252">
        <f>I3227*F3227</f>
        <v>0</v>
      </c>
      <c r="M3227" s="316">
        <v>3.1219999999999999</v>
      </c>
      <c r="N3227" s="252" t="s">
        <v>609</v>
      </c>
      <c r="O3227" s="393" t="s">
        <v>4606</v>
      </c>
      <c r="P3227" s="362">
        <f>AE58</f>
        <v>0</v>
      </c>
      <c r="Q3227" s="253" t="s">
        <v>609</v>
      </c>
      <c r="R3227" s="252">
        <f t="shared" si="304"/>
        <v>0</v>
      </c>
      <c r="W3227" s="253"/>
    </row>
    <row r="3228" spans="6:23" ht="20.25"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0.25" customHeight="1">
      <c r="H3229" s="252" t="s">
        <v>441</v>
      </c>
      <c r="J3229" s="253"/>
      <c r="K3229" s="252">
        <f>SUM(K3225:K3228)</f>
        <v>1493.41</v>
      </c>
      <c r="M3229" s="252">
        <v>8</v>
      </c>
      <c r="N3229" s="252" t="s">
        <v>868</v>
      </c>
      <c r="O3229" s="296" t="s">
        <v>3869</v>
      </c>
      <c r="P3229" s="252">
        <f>C279</f>
        <v>89.6</v>
      </c>
      <c r="Q3229" s="253" t="s">
        <v>868</v>
      </c>
      <c r="R3229" s="252">
        <f t="shared" si="304"/>
        <v>716.8</v>
      </c>
      <c r="W3229" s="253"/>
    </row>
    <row r="3230" spans="6:23" ht="20.25" customHeight="1">
      <c r="J3230" s="253"/>
      <c r="M3230" s="252">
        <v>4</v>
      </c>
      <c r="N3230" s="252" t="s">
        <v>868</v>
      </c>
      <c r="O3230" s="296" t="s">
        <v>3265</v>
      </c>
      <c r="P3230" s="252">
        <f>P3195</f>
        <v>97.85</v>
      </c>
      <c r="Q3230" s="253" t="s">
        <v>868</v>
      </c>
      <c r="R3230" s="252">
        <f t="shared" si="304"/>
        <v>391.4</v>
      </c>
      <c r="W3230" s="253"/>
    </row>
    <row r="3231" spans="6:23" ht="20.25" customHeight="1">
      <c r="H3231" s="252" t="s">
        <v>552</v>
      </c>
      <c r="J3231" s="253"/>
      <c r="K3231" s="252">
        <f>K3229/10</f>
        <v>149.34</v>
      </c>
      <c r="M3231" s="252">
        <v>1</v>
      </c>
      <c r="N3231" s="252" t="s">
        <v>868</v>
      </c>
      <c r="O3231" s="296" t="s">
        <v>3266</v>
      </c>
      <c r="P3231" s="252">
        <f>P3196</f>
        <v>209.9</v>
      </c>
      <c r="Q3231" s="253" t="s">
        <v>868</v>
      </c>
      <c r="R3231" s="252">
        <f t="shared" si="304"/>
        <v>209.9</v>
      </c>
      <c r="W3231" s="253"/>
    </row>
    <row r="3232" spans="6:23" ht="20.25" customHeight="1">
      <c r="J3232" s="253"/>
      <c r="L3232" s="252">
        <f>K3266</f>
        <v>284.39999999999998</v>
      </c>
      <c r="M3232" s="252">
        <v>2</v>
      </c>
      <c r="N3232" s="252" t="s">
        <v>868</v>
      </c>
      <c r="O3232" s="296" t="s">
        <v>3267</v>
      </c>
      <c r="P3232" s="252">
        <f>P3197</f>
        <v>23.1</v>
      </c>
      <c r="Q3232" s="253" t="s">
        <v>868</v>
      </c>
      <c r="R3232" s="252">
        <f t="shared" si="304"/>
        <v>46.2</v>
      </c>
      <c r="W3232" s="253"/>
    </row>
    <row r="3233" spans="6:24" ht="20.25" customHeight="1">
      <c r="J3233" s="253"/>
      <c r="L3233" s="252">
        <f>K3267</f>
        <v>199.25</v>
      </c>
      <c r="M3233" s="252">
        <v>2</v>
      </c>
      <c r="N3233" s="252" t="s">
        <v>868</v>
      </c>
      <c r="O3233" s="296" t="s">
        <v>3268</v>
      </c>
      <c r="P3233" s="252">
        <f>P3198</f>
        <v>49.55</v>
      </c>
      <c r="Q3233" s="253" t="s">
        <v>868</v>
      </c>
      <c r="R3233" s="252">
        <f t="shared" si="304"/>
        <v>99.1</v>
      </c>
      <c r="W3233" s="253"/>
    </row>
    <row r="3234" spans="6:24" ht="20.25" customHeight="1">
      <c r="J3234" s="253"/>
      <c r="L3234" s="252">
        <f>K3268</f>
        <v>162.75</v>
      </c>
      <c r="M3234" s="252">
        <v>118</v>
      </c>
      <c r="N3234" s="252" t="s">
        <v>868</v>
      </c>
      <c r="O3234" s="252" t="s">
        <v>1336</v>
      </c>
      <c r="P3234" s="252">
        <f>P3199</f>
        <v>2.41</v>
      </c>
      <c r="Q3234" s="253" t="s">
        <v>868</v>
      </c>
      <c r="R3234" s="252">
        <f t="shared" si="304"/>
        <v>284.38</v>
      </c>
      <c r="W3234" s="253"/>
    </row>
    <row r="3235" spans="6:24" ht="20.25" customHeight="1">
      <c r="J3235" s="253"/>
      <c r="L3235" s="252">
        <f>K3269</f>
        <v>213.6</v>
      </c>
      <c r="Q3235" s="253"/>
      <c r="R3235" s="358" t="s">
        <v>1586</v>
      </c>
      <c r="W3235" s="253"/>
    </row>
    <row r="3236" spans="6:24" ht="20.25" customHeight="1">
      <c r="J3236" s="253"/>
      <c r="L3236" s="252">
        <f>K3270</f>
        <v>1.65</v>
      </c>
      <c r="O3236" s="296" t="s">
        <v>3269</v>
      </c>
      <c r="Q3236" s="253"/>
      <c r="R3236" s="252">
        <f>SUM(R3221:R3234)</f>
        <v>12602.44</v>
      </c>
      <c r="W3236" s="253"/>
    </row>
    <row r="3237" spans="6:24" ht="20.25" customHeight="1">
      <c r="H3237" s="252" t="s">
        <v>2571</v>
      </c>
      <c r="J3237" s="253"/>
      <c r="Q3237" s="253"/>
      <c r="R3237" s="358" t="s">
        <v>1586</v>
      </c>
      <c r="W3237" s="253"/>
    </row>
    <row r="3238" spans="6:24" ht="20.25" customHeight="1">
      <c r="H3238" s="252" t="s">
        <v>1045</v>
      </c>
      <c r="J3238" s="253"/>
      <c r="O3238" s="276" t="s">
        <v>552</v>
      </c>
      <c r="Q3238" s="360" t="s">
        <v>721</v>
      </c>
      <c r="R3238" s="274">
        <f>R3236/M3227</f>
        <v>4036.66</v>
      </c>
      <c r="W3238" s="253"/>
    </row>
    <row r="3239" spans="6:24" ht="20.25" customHeight="1">
      <c r="H3239" s="252" t="s">
        <v>1237</v>
      </c>
      <c r="J3239" s="253"/>
      <c r="L3239" s="252">
        <f>SUM(L3232:L3238)</f>
        <v>861.65</v>
      </c>
      <c r="M3239" s="253"/>
      <c r="N3239" s="252" t="s">
        <v>2251</v>
      </c>
      <c r="O3239" s="296" t="s">
        <v>2815</v>
      </c>
      <c r="Q3239" s="253"/>
      <c r="W3239" s="253"/>
    </row>
    <row r="3240" spans="6:24" ht="20.25" customHeight="1">
      <c r="J3240" s="253"/>
      <c r="O3240" s="296" t="s">
        <v>256</v>
      </c>
      <c r="Q3240" s="253"/>
      <c r="W3240" s="253"/>
    </row>
    <row r="3241" spans="6:24" ht="20.25" customHeight="1">
      <c r="F3241" s="252">
        <v>1.89</v>
      </c>
      <c r="G3241" s="252" t="s">
        <v>2570</v>
      </c>
      <c r="H3241" s="252" t="s">
        <v>1180</v>
      </c>
      <c r="I3241" s="252">
        <f>I3196</f>
        <v>227.6</v>
      </c>
      <c r="J3241" s="252" t="s">
        <v>2570</v>
      </c>
      <c r="K3241" s="252">
        <f>I3241*F3241</f>
        <v>430.16</v>
      </c>
      <c r="L3241" s="252">
        <f>L3239/10</f>
        <v>86.17</v>
      </c>
      <c r="O3241" s="515" t="s">
        <v>3276</v>
      </c>
      <c r="Q3241" s="253"/>
      <c r="W3241" s="253"/>
    </row>
    <row r="3242" spans="6:24" ht="20.25" customHeight="1">
      <c r="F3242" s="252">
        <v>1.1000000000000001</v>
      </c>
      <c r="G3242" s="252" t="s">
        <v>258</v>
      </c>
      <c r="H3242" s="252" t="s">
        <v>1179</v>
      </c>
      <c r="I3242" s="252">
        <f>I3197</f>
        <v>797</v>
      </c>
      <c r="J3242" s="252" t="s">
        <v>258</v>
      </c>
      <c r="K3242" s="252">
        <f>I3242*F3242</f>
        <v>876.7</v>
      </c>
      <c r="O3242" s="358" t="s">
        <v>1586</v>
      </c>
      <c r="Q3242" s="253"/>
      <c r="W3242" s="253"/>
    </row>
    <row r="3243" spans="6:24" ht="20.25" customHeight="1">
      <c r="F3243" s="252">
        <v>10</v>
      </c>
      <c r="G3243" s="252" t="s">
        <v>2283</v>
      </c>
      <c r="H3243" s="296" t="s">
        <v>3038</v>
      </c>
      <c r="I3243" s="370">
        <f>I3198</f>
        <v>0</v>
      </c>
      <c r="J3243" s="252" t="s">
        <v>2283</v>
      </c>
      <c r="K3243" s="252">
        <f>I3243*F3243</f>
        <v>0</v>
      </c>
      <c r="O3243" s="296" t="s">
        <v>3277</v>
      </c>
      <c r="P3243" s="407" t="s">
        <v>2055</v>
      </c>
      <c r="Q3243" s="462">
        <v>2.4279999999999999</v>
      </c>
      <c r="R3243" s="252" t="s">
        <v>2283</v>
      </c>
      <c r="W3243" s="253"/>
    </row>
    <row r="3244" spans="6:24" ht="20.25" customHeight="1">
      <c r="H3244" s="296" t="s">
        <v>3039</v>
      </c>
      <c r="I3244" s="252" t="s">
        <v>657</v>
      </c>
      <c r="J3244" s="253"/>
      <c r="K3244" s="252">
        <v>1.9</v>
      </c>
      <c r="O3244" s="296"/>
      <c r="P3244" s="407"/>
      <c r="Q3244" s="462"/>
      <c r="W3244" s="253"/>
    </row>
    <row r="3245" spans="6:24" ht="20.25" customHeight="1">
      <c r="H3245" s="252" t="s">
        <v>441</v>
      </c>
      <c r="J3245" s="253"/>
      <c r="K3245" s="252">
        <f>SUM(K3241:K3244)</f>
        <v>1308.76</v>
      </c>
      <c r="O3245" s="296" t="s">
        <v>6138</v>
      </c>
      <c r="P3245" s="407" t="s">
        <v>2055</v>
      </c>
      <c r="Q3245" s="538">
        <v>5.1999999999999998E-2</v>
      </c>
      <c r="R3245" s="252" t="s">
        <v>2151</v>
      </c>
      <c r="T3245" s="274" t="s">
        <v>678</v>
      </c>
      <c r="W3245" s="253"/>
    </row>
    <row r="3246" spans="6:24" ht="20.25" customHeight="1">
      <c r="J3246" s="253"/>
      <c r="O3246" s="296" t="s">
        <v>3259</v>
      </c>
      <c r="Q3246" s="407"/>
      <c r="T3246" s="274" t="s">
        <v>1888</v>
      </c>
      <c r="W3246" s="253"/>
    </row>
    <row r="3247" spans="6:24" ht="20.25" customHeight="1">
      <c r="H3247" s="252" t="s">
        <v>552</v>
      </c>
      <c r="J3247" s="253"/>
      <c r="K3247" s="252">
        <f>K3245/10</f>
        <v>130.88</v>
      </c>
      <c r="O3247" s="296" t="s">
        <v>3278</v>
      </c>
      <c r="P3247" s="407" t="s">
        <v>2055</v>
      </c>
      <c r="Q3247" s="582">
        <v>1.7718999999999999E-2</v>
      </c>
      <c r="S3247" s="583">
        <v>6.3E-2</v>
      </c>
      <c r="T3247" s="274" t="s">
        <v>869</v>
      </c>
      <c r="U3247" s="274" t="s">
        <v>3124</v>
      </c>
      <c r="V3247" s="274">
        <f>P3291</f>
        <v>111600</v>
      </c>
      <c r="W3247" s="255" t="s">
        <v>869</v>
      </c>
      <c r="X3247" s="274">
        <f>V3247*S3247</f>
        <v>7030.8</v>
      </c>
    </row>
    <row r="3248" spans="6:24" ht="20.25" customHeight="1">
      <c r="J3248" s="252"/>
      <c r="O3248" s="296" t="s">
        <v>3279</v>
      </c>
      <c r="P3248" s="407" t="s">
        <v>2055</v>
      </c>
      <c r="Q3248" s="582">
        <v>7.8750000000000001E-3</v>
      </c>
      <c r="R3248" s="400"/>
      <c r="S3248" s="583">
        <v>4.8000000000000001E-2</v>
      </c>
      <c r="T3248" s="274" t="s">
        <v>869</v>
      </c>
      <c r="U3248" s="274" t="s">
        <v>2452</v>
      </c>
      <c r="V3248" s="274">
        <f>I3280</f>
        <v>99400</v>
      </c>
      <c r="W3248" s="255" t="s">
        <v>869</v>
      </c>
      <c r="X3248" s="274">
        <f>V3248*S3248</f>
        <v>4771.2</v>
      </c>
    </row>
    <row r="3249" spans="6:24" ht="20.25" customHeight="1">
      <c r="H3249" s="296" t="s">
        <v>1922</v>
      </c>
      <c r="J3249" s="252"/>
      <c r="Q3249" s="358" t="s">
        <v>1586</v>
      </c>
      <c r="S3249" s="583">
        <v>1.54</v>
      </c>
      <c r="T3249" s="274" t="s">
        <v>609</v>
      </c>
      <c r="U3249" s="274" t="s">
        <v>1889</v>
      </c>
      <c r="V3249" s="274">
        <f t="shared" ref="V3249:V3258" si="305">I3281</f>
        <v>2152</v>
      </c>
      <c r="W3249" s="255" t="s">
        <v>2283</v>
      </c>
      <c r="X3249" s="274">
        <f t="shared" ref="X3249:X3258" si="306">V3249*S3249</f>
        <v>3314.08</v>
      </c>
    </row>
    <row r="3250" spans="6:24" ht="20.25" customHeight="1">
      <c r="H3250" s="296" t="s">
        <v>2572</v>
      </c>
      <c r="J3250" s="252"/>
      <c r="Q3250" s="579">
        <v>2.5590000000000002E-2</v>
      </c>
      <c r="R3250" s="252" t="s">
        <v>2151</v>
      </c>
      <c r="S3250" s="583">
        <v>3.9E-2</v>
      </c>
      <c r="T3250" s="274" t="s">
        <v>869</v>
      </c>
      <c r="U3250" s="430" t="s">
        <v>937</v>
      </c>
      <c r="V3250" s="274">
        <f t="shared" si="305"/>
        <v>95000</v>
      </c>
      <c r="W3250" s="255" t="s">
        <v>869</v>
      </c>
      <c r="X3250" s="274">
        <f t="shared" si="306"/>
        <v>3705</v>
      </c>
    </row>
    <row r="3251" spans="6:24" ht="20.25" customHeight="1">
      <c r="J3251" s="252"/>
      <c r="Q3251" s="358" t="s">
        <v>1586</v>
      </c>
      <c r="S3251" s="583">
        <v>3.488</v>
      </c>
      <c r="T3251" s="274" t="s">
        <v>609</v>
      </c>
      <c r="U3251" s="430" t="s">
        <v>883</v>
      </c>
      <c r="V3251" s="274">
        <f t="shared" si="305"/>
        <v>1537</v>
      </c>
      <c r="W3251" s="255" t="s">
        <v>609</v>
      </c>
      <c r="X3251" s="274">
        <f t="shared" si="306"/>
        <v>5361.06</v>
      </c>
    </row>
    <row r="3252" spans="6:24" ht="20.25" customHeight="1">
      <c r="F3252" s="252">
        <v>0.22</v>
      </c>
      <c r="G3252" s="252" t="s">
        <v>869</v>
      </c>
      <c r="H3252" s="296" t="s">
        <v>1625</v>
      </c>
      <c r="I3252" s="252">
        <f>K49</f>
        <v>3597.1</v>
      </c>
      <c r="J3252" s="253" t="s">
        <v>869</v>
      </c>
      <c r="K3252" s="252">
        <f>(F3252*I3252)</f>
        <v>791.36</v>
      </c>
      <c r="O3252" s="296" t="s">
        <v>3280</v>
      </c>
      <c r="Q3252" s="580">
        <v>1.0999999999999999E-2</v>
      </c>
      <c r="R3252" s="400"/>
      <c r="S3252" s="583">
        <v>6</v>
      </c>
      <c r="T3252" s="274" t="s">
        <v>1873</v>
      </c>
      <c r="U3252" s="274" t="s">
        <v>1890</v>
      </c>
      <c r="V3252" s="274">
        <f t="shared" si="305"/>
        <v>214.1</v>
      </c>
      <c r="W3252" s="255" t="s">
        <v>1398</v>
      </c>
      <c r="X3252" s="274">
        <f t="shared" si="306"/>
        <v>1284.5999999999999</v>
      </c>
    </row>
    <row r="3253" spans="6:24" ht="20.25" customHeight="1">
      <c r="F3253" s="252">
        <v>2.2000000000000002</v>
      </c>
      <c r="G3253" s="252" t="s">
        <v>769</v>
      </c>
      <c r="H3253" s="296" t="s">
        <v>2009</v>
      </c>
      <c r="I3253" s="252">
        <f>AE9</f>
        <v>999</v>
      </c>
      <c r="J3253" s="253" t="s">
        <v>769</v>
      </c>
      <c r="K3253" s="252">
        <f>(F3253*I3253)</f>
        <v>2197.8000000000002</v>
      </c>
      <c r="O3253" s="296" t="s">
        <v>3281</v>
      </c>
      <c r="Q3253" s="580">
        <v>5.3E-3</v>
      </c>
      <c r="R3253" s="400"/>
      <c r="S3253" s="583">
        <v>1</v>
      </c>
      <c r="T3253" s="274" t="s">
        <v>1873</v>
      </c>
      <c r="U3253" s="274" t="s">
        <v>1891</v>
      </c>
      <c r="V3253" s="274">
        <f t="shared" si="305"/>
        <v>1020</v>
      </c>
      <c r="W3253" s="255" t="s">
        <v>1398</v>
      </c>
      <c r="X3253" s="274">
        <f t="shared" si="306"/>
        <v>1020</v>
      </c>
    </row>
    <row r="3254" spans="6:24" ht="20.25" customHeight="1">
      <c r="F3254" s="252">
        <v>0.5</v>
      </c>
      <c r="G3254" s="252" t="s">
        <v>769</v>
      </c>
      <c r="H3254" s="296" t="s">
        <v>934</v>
      </c>
      <c r="I3254" s="252">
        <f>I3183</f>
        <v>651</v>
      </c>
      <c r="J3254" s="253" t="s">
        <v>769</v>
      </c>
      <c r="K3254" s="252">
        <f>(F3254*I3254)</f>
        <v>325.5</v>
      </c>
      <c r="O3254" s="296"/>
      <c r="Q3254" s="358" t="s">
        <v>1586</v>
      </c>
      <c r="R3254" s="400"/>
      <c r="S3254" s="583">
        <v>2</v>
      </c>
      <c r="T3254" s="274" t="s">
        <v>1873</v>
      </c>
      <c r="U3254" s="274" t="s">
        <v>1892</v>
      </c>
      <c r="V3254" s="274">
        <f t="shared" si="305"/>
        <v>540</v>
      </c>
      <c r="W3254" s="255" t="s">
        <v>1398</v>
      </c>
      <c r="X3254" s="274">
        <f t="shared" si="306"/>
        <v>1080</v>
      </c>
    </row>
    <row r="3255" spans="6:24" ht="20.25" customHeight="1">
      <c r="F3255" s="252">
        <v>3.2</v>
      </c>
      <c r="G3255" s="252" t="s">
        <v>769</v>
      </c>
      <c r="H3255" s="296" t="s">
        <v>320</v>
      </c>
      <c r="I3255" s="252">
        <f>I3184</f>
        <v>534</v>
      </c>
      <c r="J3255" s="253" t="s">
        <v>769</v>
      </c>
      <c r="K3255" s="252">
        <f>(F3255*I3255)</f>
        <v>1708.8</v>
      </c>
      <c r="O3255" s="296"/>
      <c r="Q3255" s="538">
        <v>1.6299999999999999E-2</v>
      </c>
      <c r="R3255" s="400" t="s">
        <v>2151</v>
      </c>
      <c r="S3255" s="583">
        <v>2</v>
      </c>
      <c r="T3255" s="274" t="s">
        <v>1873</v>
      </c>
      <c r="U3255" s="274" t="s">
        <v>1893</v>
      </c>
      <c r="V3255" s="274">
        <f t="shared" si="305"/>
        <v>764</v>
      </c>
      <c r="W3255" s="255" t="s">
        <v>1398</v>
      </c>
      <c r="X3255" s="274">
        <f t="shared" si="306"/>
        <v>1528</v>
      </c>
    </row>
    <row r="3256" spans="6:24" ht="20.25" customHeight="1">
      <c r="F3256" s="252">
        <v>10</v>
      </c>
      <c r="G3256" s="252" t="s">
        <v>233</v>
      </c>
      <c r="H3256" s="564" t="s">
        <v>5350</v>
      </c>
      <c r="I3256" s="373">
        <f>AE56</f>
        <v>0</v>
      </c>
      <c r="J3256" s="253" t="s">
        <v>233</v>
      </c>
      <c r="K3256" s="252">
        <f>(F3256*I3256)</f>
        <v>0</v>
      </c>
      <c r="Q3256" s="358" t="s">
        <v>1586</v>
      </c>
      <c r="R3256" s="358"/>
      <c r="S3256" s="583">
        <v>1</v>
      </c>
      <c r="T3256" s="274" t="s">
        <v>1873</v>
      </c>
      <c r="U3256" s="274" t="s">
        <v>1894</v>
      </c>
      <c r="V3256" s="274">
        <f t="shared" si="305"/>
        <v>985</v>
      </c>
      <c r="W3256" s="255" t="s">
        <v>1398</v>
      </c>
      <c r="X3256" s="274">
        <f t="shared" si="306"/>
        <v>985</v>
      </c>
    </row>
    <row r="3257" spans="6:24" ht="20.25" customHeight="1">
      <c r="J3257" s="253"/>
      <c r="K3257" s="358" t="s">
        <v>1586</v>
      </c>
      <c r="M3257" s="400">
        <v>5.1999999999999998E-2</v>
      </c>
      <c r="N3257" s="252" t="s">
        <v>869</v>
      </c>
      <c r="O3257" s="296" t="s">
        <v>308</v>
      </c>
      <c r="P3257" s="252">
        <f>P3188</f>
        <v>111600</v>
      </c>
      <c r="Q3257" s="253" t="s">
        <v>869</v>
      </c>
      <c r="R3257" s="252">
        <f>P3257*M3257</f>
        <v>5803.2</v>
      </c>
      <c r="S3257" s="583">
        <v>2</v>
      </c>
      <c r="T3257" s="274" t="s">
        <v>1873</v>
      </c>
      <c r="U3257" s="274" t="s">
        <v>1895</v>
      </c>
      <c r="V3257" s="274">
        <f t="shared" si="305"/>
        <v>450</v>
      </c>
      <c r="W3257" s="255" t="s">
        <v>1398</v>
      </c>
      <c r="X3257" s="274">
        <f t="shared" si="306"/>
        <v>900</v>
      </c>
    </row>
    <row r="3258" spans="6:24" ht="20.25" customHeight="1">
      <c r="H3258" s="296" t="s">
        <v>441</v>
      </c>
      <c r="J3258" s="253"/>
      <c r="K3258" s="252">
        <f>SUM(K3252:K3257)</f>
        <v>5023.46</v>
      </c>
      <c r="M3258" s="400">
        <v>2.5590000000000002E-2</v>
      </c>
      <c r="N3258" s="252" t="s">
        <v>869</v>
      </c>
      <c r="O3258" s="296" t="s">
        <v>309</v>
      </c>
      <c r="P3258" s="252">
        <f>P3189</f>
        <v>99400</v>
      </c>
      <c r="Q3258" s="253" t="s">
        <v>869</v>
      </c>
      <c r="R3258" s="252">
        <f t="shared" ref="R3258:R3268" si="307">P3258*M3258</f>
        <v>2543.65</v>
      </c>
      <c r="S3258" s="583">
        <v>0</v>
      </c>
      <c r="T3258" s="274" t="s">
        <v>1432</v>
      </c>
      <c r="U3258" s="274" t="s">
        <v>6139</v>
      </c>
      <c r="V3258" s="274">
        <f t="shared" si="305"/>
        <v>2.41</v>
      </c>
      <c r="W3258" s="255" t="s">
        <v>1398</v>
      </c>
      <c r="X3258" s="535">
        <f t="shared" si="306"/>
        <v>0</v>
      </c>
    </row>
    <row r="3259" spans="6:24" ht="20.25" customHeight="1">
      <c r="J3259" s="253"/>
      <c r="K3259" s="358" t="s">
        <v>1586</v>
      </c>
      <c r="M3259" s="400">
        <v>1.6299999999999999E-2</v>
      </c>
      <c r="N3259" s="252" t="s">
        <v>869</v>
      </c>
      <c r="O3259" s="393" t="s">
        <v>3282</v>
      </c>
      <c r="P3259" s="252">
        <f>AC28</f>
        <v>95000</v>
      </c>
      <c r="Q3259" s="253" t="s">
        <v>869</v>
      </c>
      <c r="R3259" s="252">
        <f t="shared" si="307"/>
        <v>1548.5</v>
      </c>
      <c r="S3259" s="583"/>
      <c r="T3259" s="274"/>
      <c r="U3259" s="274" t="s">
        <v>1896</v>
      </c>
      <c r="V3259" s="274"/>
      <c r="W3259" s="255"/>
      <c r="X3259" s="274">
        <f>SUM(X3247:X3258)</f>
        <v>30979.74</v>
      </c>
    </row>
    <row r="3260" spans="6:24" ht="20.25" customHeight="1">
      <c r="H3260" s="296" t="s">
        <v>552</v>
      </c>
      <c r="J3260" s="253"/>
      <c r="K3260" s="252">
        <f>(K3258/10)</f>
        <v>502.35</v>
      </c>
      <c r="M3260" s="316"/>
      <c r="O3260" s="296" t="s">
        <v>945</v>
      </c>
      <c r="Q3260" s="253"/>
      <c r="R3260" s="252">
        <f t="shared" si="307"/>
        <v>0</v>
      </c>
      <c r="S3260" s="583"/>
      <c r="T3260" s="274"/>
      <c r="U3260" s="274"/>
      <c r="V3260" s="274"/>
      <c r="W3260" s="255"/>
      <c r="X3260" s="535" t="s">
        <v>146</v>
      </c>
    </row>
    <row r="3261" spans="6:24" ht="20.25" customHeight="1">
      <c r="J3261" s="253"/>
      <c r="K3261" s="358" t="s">
        <v>2055</v>
      </c>
      <c r="M3261" s="316">
        <v>2.4279999999999999</v>
      </c>
      <c r="N3261" s="252" t="s">
        <v>609</v>
      </c>
      <c r="O3261" s="296" t="s">
        <v>447</v>
      </c>
      <c r="P3261" s="252">
        <f t="shared" ref="P3261:P3267" si="308">P3192</f>
        <v>1537</v>
      </c>
      <c r="Q3261" s="253" t="s">
        <v>609</v>
      </c>
      <c r="R3261" s="252">
        <f t="shared" si="307"/>
        <v>3731.84</v>
      </c>
      <c r="S3261" s="583"/>
      <c r="T3261" s="274"/>
      <c r="U3261" s="274" t="s">
        <v>1897</v>
      </c>
      <c r="V3261" s="274"/>
      <c r="W3261" s="255"/>
      <c r="X3261" s="274">
        <f>X3259/S3251</f>
        <v>8881.81</v>
      </c>
    </row>
    <row r="3262" spans="6:24" ht="20.25" customHeight="1">
      <c r="J3262" s="252"/>
      <c r="K3262" s="252">
        <f>54000+7000</f>
        <v>61000</v>
      </c>
      <c r="M3262" s="252">
        <v>4</v>
      </c>
      <c r="N3262" s="252" t="s">
        <v>769</v>
      </c>
      <c r="O3262" s="296" t="s">
        <v>3264</v>
      </c>
      <c r="P3262" s="252">
        <f>P3228</f>
        <v>57.65</v>
      </c>
      <c r="Q3262" s="253" t="s">
        <v>868</v>
      </c>
      <c r="R3262" s="252">
        <f t="shared" si="307"/>
        <v>230.6</v>
      </c>
      <c r="S3262" s="583"/>
      <c r="T3262" s="274"/>
      <c r="U3262" s="274"/>
      <c r="V3262" s="274"/>
      <c r="W3262" s="255"/>
      <c r="X3262" s="535" t="s">
        <v>146</v>
      </c>
    </row>
    <row r="3263" spans="6:24" ht="20.25" customHeight="1">
      <c r="J3263" s="252"/>
      <c r="M3263" s="252">
        <v>8</v>
      </c>
      <c r="N3263" s="252" t="s">
        <v>868</v>
      </c>
      <c r="O3263" s="296" t="s">
        <v>1464</v>
      </c>
      <c r="P3263" s="252">
        <f>P3229</f>
        <v>89.6</v>
      </c>
      <c r="Q3263" s="253" t="s">
        <v>868</v>
      </c>
      <c r="R3263" s="252">
        <f t="shared" si="307"/>
        <v>716.8</v>
      </c>
      <c r="W3263" s="253"/>
    </row>
    <row r="3264" spans="6:24" ht="20.25"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0.25" customHeight="1">
      <c r="H3265" s="253" t="s">
        <v>32</v>
      </c>
      <c r="J3265" s="253"/>
      <c r="M3265" s="252">
        <v>1</v>
      </c>
      <c r="N3265" s="252" t="s">
        <v>868</v>
      </c>
      <c r="O3265" s="296" t="s">
        <v>3266</v>
      </c>
      <c r="P3265" s="252">
        <f t="shared" si="308"/>
        <v>209.9</v>
      </c>
      <c r="Q3265" s="253" t="s">
        <v>868</v>
      </c>
      <c r="R3265" s="252">
        <f t="shared" si="307"/>
        <v>209.9</v>
      </c>
      <c r="W3265" s="253"/>
    </row>
    <row r="3266" spans="6:23" ht="20.25"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0.25"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0.25"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0.25" customHeight="1">
      <c r="F3269" s="252">
        <v>0.4</v>
      </c>
      <c r="G3269" s="252" t="s">
        <v>560</v>
      </c>
      <c r="H3269" s="296" t="s">
        <v>1372</v>
      </c>
      <c r="I3269" s="252">
        <f>I3184</f>
        <v>534</v>
      </c>
      <c r="J3269" s="253" t="s">
        <v>560</v>
      </c>
      <c r="K3269" s="252">
        <f>(F3269*I3269)</f>
        <v>213.6</v>
      </c>
      <c r="Q3269" s="253"/>
      <c r="R3269" s="358" t="s">
        <v>1586</v>
      </c>
      <c r="W3269" s="253"/>
    </row>
    <row r="3270" spans="6:23" ht="20.25" customHeight="1">
      <c r="G3270" s="252" t="s">
        <v>449</v>
      </c>
      <c r="H3270" s="296" t="s">
        <v>1836</v>
      </c>
      <c r="J3270" s="253" t="s">
        <v>449</v>
      </c>
      <c r="K3270" s="252">
        <v>1.65</v>
      </c>
      <c r="O3270" s="296" t="s">
        <v>3283</v>
      </c>
      <c r="Q3270" s="253"/>
      <c r="R3270" s="252">
        <f>SUM(R3257:R3268)</f>
        <v>15605.57</v>
      </c>
      <c r="W3270" s="253"/>
    </row>
    <row r="3271" spans="6:23" ht="20.25" customHeight="1">
      <c r="F3271" s="252">
        <v>10</v>
      </c>
      <c r="H3271" s="296" t="s">
        <v>3391</v>
      </c>
      <c r="I3271" s="252">
        <f>I3172</f>
        <v>0</v>
      </c>
      <c r="J3271" s="253" t="s">
        <v>233</v>
      </c>
      <c r="K3271" s="252">
        <f>I3271*F3271</f>
        <v>0</v>
      </c>
      <c r="Q3271" s="253"/>
      <c r="R3271" s="358" t="s">
        <v>1586</v>
      </c>
      <c r="W3271" s="253"/>
    </row>
    <row r="3272" spans="6:23" ht="20.25" customHeight="1">
      <c r="J3272" s="253"/>
      <c r="K3272" s="358" t="s">
        <v>1586</v>
      </c>
      <c r="O3272" s="276" t="s">
        <v>552</v>
      </c>
      <c r="Q3272" s="360" t="s">
        <v>721</v>
      </c>
      <c r="R3272" s="274">
        <f>R3270/M3261</f>
        <v>6427.34</v>
      </c>
      <c r="W3272" s="253"/>
    </row>
    <row r="3273" spans="6:23" ht="20.25" customHeight="1">
      <c r="H3273" s="253" t="s">
        <v>1373</v>
      </c>
      <c r="J3273" s="253"/>
      <c r="K3273" s="252">
        <f>SUM(K3266:K3272)</f>
        <v>861.65</v>
      </c>
      <c r="M3273" s="253"/>
      <c r="N3273" s="252" t="s">
        <v>2251</v>
      </c>
      <c r="O3273" s="296" t="s">
        <v>3286</v>
      </c>
      <c r="Q3273" s="253"/>
      <c r="W3273" s="253"/>
    </row>
    <row r="3274" spans="6:23" ht="20.25" customHeight="1">
      <c r="J3274" s="253"/>
      <c r="K3274" s="358" t="s">
        <v>1586</v>
      </c>
      <c r="O3274" s="296" t="s">
        <v>256</v>
      </c>
      <c r="Q3274" s="253"/>
      <c r="W3274" s="253"/>
    </row>
    <row r="3275" spans="6:23" ht="20.25" customHeight="1">
      <c r="F3275" s="296" t="s">
        <v>975</v>
      </c>
      <c r="G3275" s="252" t="s">
        <v>975</v>
      </c>
      <c r="H3275" s="253" t="s">
        <v>1695</v>
      </c>
      <c r="I3275" s="296" t="s">
        <v>975</v>
      </c>
      <c r="J3275" s="253" t="s">
        <v>975</v>
      </c>
      <c r="K3275" s="252">
        <f>K3273/10</f>
        <v>86.17</v>
      </c>
      <c r="O3275" s="515" t="s">
        <v>3276</v>
      </c>
      <c r="Q3275" s="253"/>
      <c r="W3275" s="253"/>
    </row>
    <row r="3276" spans="6:23" ht="20.25" customHeight="1">
      <c r="J3276" s="253"/>
      <c r="K3276" s="358" t="s">
        <v>2055</v>
      </c>
      <c r="O3276" s="358" t="s">
        <v>1586</v>
      </c>
      <c r="Q3276" s="253"/>
      <c r="W3276" s="253"/>
    </row>
    <row r="3277" spans="6:23" ht="20.25" customHeight="1">
      <c r="G3277" s="274" t="s">
        <v>1887</v>
      </c>
      <c r="J3277" s="252"/>
      <c r="O3277" s="296" t="s">
        <v>3277</v>
      </c>
      <c r="P3277" s="407" t="s">
        <v>2055</v>
      </c>
      <c r="Q3277" s="462">
        <v>2.4279999999999999</v>
      </c>
      <c r="R3277" s="252" t="s">
        <v>2283</v>
      </c>
      <c r="W3277" s="253"/>
    </row>
    <row r="3278" spans="6:23" ht="20.25" customHeight="1">
      <c r="G3278" s="274" t="s">
        <v>1888</v>
      </c>
      <c r="J3278" s="252"/>
      <c r="O3278" s="296"/>
      <c r="P3278" s="407"/>
      <c r="Q3278" s="462"/>
      <c r="W3278" s="253"/>
    </row>
    <row r="3279" spans="6:23" ht="20.25" customHeight="1">
      <c r="J3279" s="252"/>
      <c r="O3279" s="296" t="s">
        <v>6138</v>
      </c>
      <c r="P3279" s="407" t="s">
        <v>2055</v>
      </c>
      <c r="Q3279" s="538">
        <v>5.1999999999999998E-2</v>
      </c>
      <c r="R3279" s="252" t="s">
        <v>2151</v>
      </c>
      <c r="W3279" s="253"/>
    </row>
    <row r="3280" spans="6:23" ht="20.25" customHeight="1">
      <c r="F3280" s="562">
        <v>0.10299999999999999</v>
      </c>
      <c r="G3280" s="274" t="s">
        <v>869</v>
      </c>
      <c r="H3280" s="274" t="s">
        <v>2452</v>
      </c>
      <c r="I3280" s="274">
        <f>I1102</f>
        <v>99400</v>
      </c>
      <c r="J3280" s="276" t="s">
        <v>869</v>
      </c>
      <c r="K3280" s="274">
        <f>I3280*F3280</f>
        <v>10238.200000000001</v>
      </c>
      <c r="O3280" s="296" t="s">
        <v>3259</v>
      </c>
      <c r="Q3280" s="407"/>
      <c r="W3280" s="253"/>
    </row>
    <row r="3281" spans="6:23" ht="20.25" customHeight="1">
      <c r="F3281" s="562">
        <v>1.32</v>
      </c>
      <c r="G3281" s="274" t="s">
        <v>609</v>
      </c>
      <c r="H3281" s="274" t="s">
        <v>1889</v>
      </c>
      <c r="I3281" s="584">
        <v>2152</v>
      </c>
      <c r="J3281" s="276" t="s">
        <v>2283</v>
      </c>
      <c r="K3281" s="274">
        <f t="shared" ref="K3281:K3290" si="309">I3281*F3281</f>
        <v>2840.64</v>
      </c>
      <c r="O3281" s="296" t="s">
        <v>3278</v>
      </c>
      <c r="P3281" s="407" t="s">
        <v>2055</v>
      </c>
      <c r="Q3281" s="582">
        <v>1.7718999999999999E-2</v>
      </c>
      <c r="W3281" s="253"/>
    </row>
    <row r="3282" spans="6:23" ht="20.25" customHeight="1">
      <c r="F3282" s="563">
        <v>3.3000000000000002E-2</v>
      </c>
      <c r="G3282" s="274" t="s">
        <v>869</v>
      </c>
      <c r="H3282" s="430" t="s">
        <v>937</v>
      </c>
      <c r="I3282" s="274">
        <f>AC28</f>
        <v>95000</v>
      </c>
      <c r="J3282" s="276" t="s">
        <v>869</v>
      </c>
      <c r="K3282" s="274">
        <f t="shared" si="309"/>
        <v>3135</v>
      </c>
      <c r="O3282" s="296" t="s">
        <v>3279</v>
      </c>
      <c r="P3282" s="407" t="s">
        <v>2055</v>
      </c>
      <c r="Q3282" s="582">
        <v>7.8750000000000001E-3</v>
      </c>
      <c r="R3282" s="400"/>
      <c r="W3282" s="253"/>
    </row>
    <row r="3283" spans="6:23" ht="20.25" customHeight="1">
      <c r="F3283" s="563">
        <v>3.0225</v>
      </c>
      <c r="G3283" s="274" t="s">
        <v>609</v>
      </c>
      <c r="H3283" s="430" t="s">
        <v>883</v>
      </c>
      <c r="I3283" s="274">
        <f>AE30</f>
        <v>1537</v>
      </c>
      <c r="J3283" s="276" t="s">
        <v>609</v>
      </c>
      <c r="K3283" s="274">
        <f t="shared" si="309"/>
        <v>4645.58</v>
      </c>
      <c r="Q3283" s="358" t="s">
        <v>1586</v>
      </c>
      <c r="W3283" s="253"/>
    </row>
    <row r="3284" spans="6:23" ht="20.25" customHeight="1">
      <c r="F3284" s="274">
        <v>6</v>
      </c>
      <c r="G3284" s="274" t="s">
        <v>1873</v>
      </c>
      <c r="H3284" s="274" t="s">
        <v>5889</v>
      </c>
      <c r="I3284" s="585">
        <v>214.1</v>
      </c>
      <c r="J3284" s="276" t="s">
        <v>1398</v>
      </c>
      <c r="K3284" s="274">
        <f t="shared" si="309"/>
        <v>1284.5999999999999</v>
      </c>
      <c r="Q3284" s="579">
        <v>2.5590000000000002E-2</v>
      </c>
      <c r="R3284" s="252" t="s">
        <v>2151</v>
      </c>
      <c r="W3284" s="253"/>
    </row>
    <row r="3285" spans="6:23" ht="20.25" customHeight="1">
      <c r="F3285" s="274">
        <v>1</v>
      </c>
      <c r="G3285" s="274" t="s">
        <v>1873</v>
      </c>
      <c r="H3285" s="274" t="s">
        <v>5890</v>
      </c>
      <c r="I3285" s="366">
        <v>1020</v>
      </c>
      <c r="J3285" s="276" t="s">
        <v>1398</v>
      </c>
      <c r="K3285" s="274">
        <f t="shared" si="309"/>
        <v>1020</v>
      </c>
      <c r="Q3285" s="358" t="s">
        <v>1586</v>
      </c>
      <c r="W3285" s="253"/>
    </row>
    <row r="3286" spans="6:23" ht="20.25" customHeight="1">
      <c r="F3286" s="274">
        <v>2</v>
      </c>
      <c r="G3286" s="274" t="s">
        <v>1873</v>
      </c>
      <c r="H3286" s="274" t="s">
        <v>1892</v>
      </c>
      <c r="I3286" s="366">
        <v>540</v>
      </c>
      <c r="J3286" s="276" t="s">
        <v>1398</v>
      </c>
      <c r="K3286" s="274">
        <f t="shared" si="309"/>
        <v>1080</v>
      </c>
      <c r="O3286" s="296" t="s">
        <v>3284</v>
      </c>
      <c r="Q3286" s="580">
        <v>0.58750000000000002</v>
      </c>
      <c r="R3286" s="400"/>
      <c r="W3286" s="253"/>
    </row>
    <row r="3287" spans="6:23" ht="20.25" customHeight="1">
      <c r="F3287" s="274">
        <v>2</v>
      </c>
      <c r="G3287" s="274" t="s">
        <v>1873</v>
      </c>
      <c r="H3287" s="274" t="s">
        <v>1893</v>
      </c>
      <c r="I3287" s="366">
        <v>764</v>
      </c>
      <c r="J3287" s="276" t="s">
        <v>1398</v>
      </c>
      <c r="K3287" s="274">
        <f t="shared" si="309"/>
        <v>1528</v>
      </c>
      <c r="O3287" s="296" t="s">
        <v>3285</v>
      </c>
      <c r="Q3287" s="580">
        <v>0.28129999999999999</v>
      </c>
      <c r="R3287" s="400"/>
      <c r="W3287" s="253"/>
    </row>
    <row r="3288" spans="6:23" ht="20.25" customHeight="1">
      <c r="F3288" s="274">
        <v>1</v>
      </c>
      <c r="G3288" s="274" t="s">
        <v>1873</v>
      </c>
      <c r="H3288" s="274" t="s">
        <v>1894</v>
      </c>
      <c r="I3288" s="456">
        <v>985</v>
      </c>
      <c r="J3288" s="276" t="s">
        <v>1398</v>
      </c>
      <c r="K3288" s="274">
        <f t="shared" si="309"/>
        <v>985</v>
      </c>
      <c r="O3288" s="296"/>
      <c r="Q3288" s="358" t="s">
        <v>1586</v>
      </c>
      <c r="R3288" s="400"/>
      <c r="W3288" s="253"/>
    </row>
    <row r="3289" spans="6:23" ht="20.25" customHeight="1">
      <c r="F3289" s="274">
        <v>2</v>
      </c>
      <c r="G3289" s="274" t="s">
        <v>1873</v>
      </c>
      <c r="H3289" s="274" t="s">
        <v>1895</v>
      </c>
      <c r="I3289" s="456">
        <v>450</v>
      </c>
      <c r="J3289" s="276" t="s">
        <v>1398</v>
      </c>
      <c r="K3289" s="274">
        <f t="shared" si="309"/>
        <v>900</v>
      </c>
      <c r="O3289" s="296"/>
      <c r="Q3289" s="580">
        <v>0.86880000000000002</v>
      </c>
      <c r="R3289" s="274" t="s">
        <v>2283</v>
      </c>
      <c r="W3289" s="253"/>
    </row>
    <row r="3290" spans="6:23" ht="20.25" customHeight="1">
      <c r="F3290" s="274">
        <v>0</v>
      </c>
      <c r="G3290" s="274" t="s">
        <v>1432</v>
      </c>
      <c r="H3290" s="274" t="s">
        <v>6139</v>
      </c>
      <c r="I3290" s="274">
        <f>I961</f>
        <v>2.41</v>
      </c>
      <c r="J3290" s="276" t="s">
        <v>1398</v>
      </c>
      <c r="K3290" s="535">
        <f t="shared" si="309"/>
        <v>0</v>
      </c>
      <c r="Q3290" s="358" t="s">
        <v>1586</v>
      </c>
      <c r="R3290" s="358"/>
      <c r="W3290" s="253"/>
    </row>
    <row r="3291" spans="6:23" ht="20.25"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0.25" customHeight="1">
      <c r="F3292" s="274"/>
      <c r="G3292" s="274"/>
      <c r="H3292" s="274"/>
      <c r="I3292" s="274"/>
      <c r="J3292" s="276"/>
      <c r="K3292" s="535" t="s">
        <v>146</v>
      </c>
      <c r="M3292" s="400">
        <v>2.5590000000000002E-2</v>
      </c>
      <c r="N3292" s="252" t="s">
        <v>869</v>
      </c>
      <c r="O3292" s="296" t="s">
        <v>309</v>
      </c>
      <c r="P3292" s="252">
        <f>P3189</f>
        <v>99400</v>
      </c>
      <c r="Q3292" s="253" t="s">
        <v>869</v>
      </c>
      <c r="R3292" s="252">
        <f t="shared" ref="R3292:R3300" si="310">P3292*M3292</f>
        <v>2543.65</v>
      </c>
      <c r="W3292" s="253"/>
    </row>
    <row r="3293" spans="6:23" ht="20.25"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0.25" customHeight="1">
      <c r="F3294" s="274"/>
      <c r="G3294" s="274"/>
      <c r="H3294" s="274"/>
      <c r="I3294" s="274"/>
      <c r="J3294" s="276"/>
      <c r="K3294" s="535" t="s">
        <v>146</v>
      </c>
      <c r="M3294" s="316">
        <v>2.4279999999999999</v>
      </c>
      <c r="N3294" s="252" t="s">
        <v>609</v>
      </c>
      <c r="O3294" s="296" t="s">
        <v>447</v>
      </c>
      <c r="P3294" s="252">
        <f>D30</f>
        <v>1281</v>
      </c>
      <c r="Q3294" s="253" t="s">
        <v>609</v>
      </c>
      <c r="R3294" s="252">
        <f t="shared" si="310"/>
        <v>3110.27</v>
      </c>
      <c r="W3294" s="253"/>
    </row>
    <row r="3295" spans="6:23" ht="20.25" customHeight="1">
      <c r="J3295" s="252"/>
      <c r="M3295" s="252">
        <v>4</v>
      </c>
      <c r="N3295" s="252" t="s">
        <v>769</v>
      </c>
      <c r="O3295" s="296" t="s">
        <v>3264</v>
      </c>
      <c r="P3295" s="252">
        <f t="shared" ref="P3295:P3300" si="311">P3228</f>
        <v>57.65</v>
      </c>
      <c r="Q3295" s="253" t="s">
        <v>868</v>
      </c>
      <c r="R3295" s="252">
        <f t="shared" si="310"/>
        <v>230.6</v>
      </c>
      <c r="W3295" s="253"/>
    </row>
    <row r="3296" spans="6:23" ht="20.25" customHeight="1">
      <c r="J3296" s="252"/>
      <c r="M3296" s="252">
        <v>8</v>
      </c>
      <c r="N3296" s="252" t="s">
        <v>868</v>
      </c>
      <c r="O3296" s="296" t="s">
        <v>1464</v>
      </c>
      <c r="P3296" s="252">
        <f t="shared" si="311"/>
        <v>89.6</v>
      </c>
      <c r="Q3296" s="253" t="s">
        <v>868</v>
      </c>
      <c r="R3296" s="252">
        <f t="shared" si="310"/>
        <v>716.8</v>
      </c>
      <c r="W3296" s="253"/>
    </row>
    <row r="3297" spans="6:23" ht="20.25"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0.25" customHeight="1">
      <c r="H3298" s="253" t="s">
        <v>1781</v>
      </c>
      <c r="M3298" s="252">
        <v>1</v>
      </c>
      <c r="N3298" s="252" t="s">
        <v>868</v>
      </c>
      <c r="O3298" s="296" t="s">
        <v>3266</v>
      </c>
      <c r="P3298" s="252">
        <f t="shared" si="311"/>
        <v>209.9</v>
      </c>
      <c r="Q3298" s="253" t="s">
        <v>868</v>
      </c>
      <c r="R3298" s="252">
        <f t="shared" si="310"/>
        <v>209.9</v>
      </c>
      <c r="W3298" s="253"/>
    </row>
    <row r="3299" spans="6:23" ht="20.25" customHeight="1">
      <c r="F3299" s="400">
        <v>6.5000000000000002E-2</v>
      </c>
      <c r="G3299" s="252" t="s">
        <v>869</v>
      </c>
      <c r="H3299" s="296" t="s">
        <v>2073</v>
      </c>
      <c r="I3299" s="252">
        <f>I859</f>
        <v>7917.08</v>
      </c>
      <c r="J3299" s="296" t="s">
        <v>869</v>
      </c>
      <c r="K3299" s="252">
        <f>I3299*F3299</f>
        <v>514.61</v>
      </c>
      <c r="M3299" s="252">
        <v>2</v>
      </c>
      <c r="N3299" s="252" t="s">
        <v>868</v>
      </c>
      <c r="O3299" s="296" t="s">
        <v>3267</v>
      </c>
      <c r="P3299" s="252">
        <f t="shared" si="311"/>
        <v>23.1</v>
      </c>
      <c r="Q3299" s="253" t="s">
        <v>868</v>
      </c>
      <c r="R3299" s="252">
        <f t="shared" si="310"/>
        <v>46.2</v>
      </c>
      <c r="W3299" s="253"/>
    </row>
    <row r="3300" spans="6:23" ht="20.25"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0.25"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0.25" customHeight="1">
      <c r="F3302" s="252">
        <v>12</v>
      </c>
      <c r="G3302" s="252" t="s">
        <v>868</v>
      </c>
      <c r="H3302" s="296" t="s">
        <v>1187</v>
      </c>
      <c r="I3302" s="252">
        <f t="shared" si="312"/>
        <v>2</v>
      </c>
      <c r="J3302" s="296" t="s">
        <v>868</v>
      </c>
      <c r="K3302" s="252">
        <f t="shared" si="313"/>
        <v>24</v>
      </c>
      <c r="Q3302" s="253"/>
      <c r="R3302" s="358" t="s">
        <v>1586</v>
      </c>
      <c r="W3302" s="253"/>
    </row>
    <row r="3303" spans="6:23" ht="20.25"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0.25" customHeight="1">
      <c r="F3304" s="252">
        <v>6</v>
      </c>
      <c r="G3304" s="252" t="s">
        <v>868</v>
      </c>
      <c r="H3304" s="296" t="s">
        <v>2220</v>
      </c>
      <c r="I3304" s="252">
        <f t="shared" si="312"/>
        <v>4.45</v>
      </c>
      <c r="J3304" s="296" t="s">
        <v>868</v>
      </c>
      <c r="K3304" s="252">
        <f t="shared" si="313"/>
        <v>26.7</v>
      </c>
      <c r="Q3304" s="253"/>
      <c r="R3304" s="358" t="s">
        <v>1586</v>
      </c>
      <c r="W3304" s="253"/>
    </row>
    <row r="3305" spans="6:23" ht="20.25"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0.25"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0.25" customHeight="1">
      <c r="F3307" s="252">
        <v>1</v>
      </c>
      <c r="G3307" s="252" t="s">
        <v>868</v>
      </c>
      <c r="H3307" s="296" t="s">
        <v>1195</v>
      </c>
      <c r="I3307" s="252">
        <f t="shared" si="312"/>
        <v>25</v>
      </c>
      <c r="J3307" s="296" t="s">
        <v>868</v>
      </c>
      <c r="K3307" s="252">
        <f t="shared" si="313"/>
        <v>25</v>
      </c>
      <c r="O3307" s="296" t="s">
        <v>256</v>
      </c>
      <c r="Q3307" s="253"/>
      <c r="W3307" s="253"/>
    </row>
    <row r="3308" spans="6:23" ht="20.25" customHeight="1">
      <c r="F3308" s="252">
        <v>0.5</v>
      </c>
      <c r="G3308" s="252" t="s">
        <v>868</v>
      </c>
      <c r="H3308" s="296" t="s">
        <v>1196</v>
      </c>
      <c r="I3308" s="252">
        <f t="shared" si="312"/>
        <v>534</v>
      </c>
      <c r="J3308" s="296" t="s">
        <v>868</v>
      </c>
      <c r="K3308" s="252">
        <f t="shared" si="313"/>
        <v>267</v>
      </c>
      <c r="O3308" s="515" t="s">
        <v>2816</v>
      </c>
      <c r="Q3308" s="253"/>
      <c r="W3308" s="253"/>
    </row>
    <row r="3309" spans="6:23" ht="20.25" customHeight="1">
      <c r="G3309" s="252" t="s">
        <v>449</v>
      </c>
      <c r="H3309" s="296" t="s">
        <v>2139</v>
      </c>
      <c r="I3309" s="252">
        <f t="shared" si="312"/>
        <v>0</v>
      </c>
      <c r="J3309" s="296" t="s">
        <v>449</v>
      </c>
      <c r="K3309" s="252">
        <v>2.1</v>
      </c>
      <c r="O3309" s="358" t="s">
        <v>1586</v>
      </c>
      <c r="Q3309" s="253"/>
      <c r="W3309" s="253"/>
    </row>
    <row r="3310" spans="6:23" ht="20.25" customHeight="1">
      <c r="I3310" s="252">
        <f t="shared" si="312"/>
        <v>0</v>
      </c>
      <c r="K3310" s="358" t="s">
        <v>1586</v>
      </c>
      <c r="O3310" s="296" t="s">
        <v>3258</v>
      </c>
      <c r="P3310" s="407" t="s">
        <v>2055</v>
      </c>
      <c r="Q3310" s="462">
        <v>3.1219999999999999</v>
      </c>
      <c r="R3310" s="296" t="s">
        <v>2283</v>
      </c>
      <c r="W3310" s="253"/>
    </row>
    <row r="3311" spans="6:23" ht="20.25" customHeight="1">
      <c r="H3311" s="255" t="s">
        <v>283</v>
      </c>
      <c r="K3311" s="274">
        <f>SUM(K3299:K3310)</f>
        <v>3314.59</v>
      </c>
      <c r="O3311" s="296"/>
      <c r="P3311" s="407"/>
      <c r="Q3311" s="462"/>
      <c r="R3311" s="296"/>
      <c r="W3311" s="253"/>
    </row>
    <row r="3312" spans="6:23" ht="20.25" customHeight="1">
      <c r="K3312" s="358" t="s">
        <v>1586</v>
      </c>
      <c r="O3312" s="296" t="s">
        <v>6138</v>
      </c>
      <c r="P3312" s="407" t="s">
        <v>2055</v>
      </c>
      <c r="Q3312" s="538">
        <v>5.1999999999999998E-2</v>
      </c>
      <c r="R3312" s="296" t="s">
        <v>2151</v>
      </c>
      <c r="W3312" s="253"/>
    </row>
    <row r="3313" spans="6:23" ht="20.25" customHeight="1">
      <c r="J3313" s="252"/>
      <c r="O3313" s="296" t="s">
        <v>3259</v>
      </c>
      <c r="Q3313" s="407"/>
      <c r="R3313" s="296"/>
      <c r="W3313" s="253"/>
    </row>
    <row r="3314" spans="6:23" ht="20.25" customHeight="1">
      <c r="J3314" s="252"/>
      <c r="O3314" s="296" t="s">
        <v>3260</v>
      </c>
      <c r="P3314" s="407" t="s">
        <v>2055</v>
      </c>
      <c r="Q3314" s="578">
        <v>2.2780000000000002E-2</v>
      </c>
      <c r="R3314" s="296"/>
      <c r="W3314" s="253"/>
    </row>
    <row r="3315" spans="6:23" ht="20.25" customHeight="1">
      <c r="G3315" s="274" t="s">
        <v>1744</v>
      </c>
      <c r="J3315" s="252"/>
      <c r="O3315" s="296" t="s">
        <v>2817</v>
      </c>
      <c r="P3315" s="407" t="s">
        <v>2055</v>
      </c>
      <c r="Q3315" s="582">
        <v>1.0125E-2</v>
      </c>
      <c r="R3315" s="443"/>
      <c r="W3315" s="253"/>
    </row>
    <row r="3316" spans="6:23" ht="20.25" customHeight="1">
      <c r="G3316" s="274" t="s">
        <v>1745</v>
      </c>
      <c r="J3316" s="252"/>
      <c r="Q3316" s="581" t="s">
        <v>3053</v>
      </c>
      <c r="R3316" s="296"/>
      <c r="W3316" s="253"/>
    </row>
    <row r="3317" spans="6:23" ht="20.25" customHeight="1">
      <c r="J3317" s="252"/>
      <c r="Q3317" s="579">
        <v>3.2910000000000002E-2</v>
      </c>
      <c r="R3317" s="296" t="s">
        <v>2151</v>
      </c>
      <c r="W3317" s="253"/>
    </row>
    <row r="3318" spans="6:23" ht="20.25" customHeight="1">
      <c r="F3318" s="563">
        <v>2.6159999999999999E-2</v>
      </c>
      <c r="G3318" s="274" t="s">
        <v>869</v>
      </c>
      <c r="H3318" s="274" t="s">
        <v>3124</v>
      </c>
      <c r="I3318" s="274">
        <f>AC26</f>
        <v>111600</v>
      </c>
      <c r="J3318" s="276" t="s">
        <v>869</v>
      </c>
      <c r="K3318" s="274">
        <f>I3318*F3318</f>
        <v>2919.46</v>
      </c>
      <c r="Q3318" s="581" t="s">
        <v>3053</v>
      </c>
      <c r="R3318" s="296"/>
      <c r="W3318" s="253"/>
    </row>
    <row r="3319" spans="6:23" ht="20.25" customHeight="1">
      <c r="F3319" s="563">
        <v>4.7809999999999998E-2</v>
      </c>
      <c r="G3319" s="274" t="s">
        <v>869</v>
      </c>
      <c r="H3319" s="274" t="s">
        <v>2488</v>
      </c>
      <c r="I3319" s="274">
        <f>AC27</f>
        <v>99400</v>
      </c>
      <c r="J3319" s="276" t="s">
        <v>869</v>
      </c>
      <c r="K3319" s="274">
        <f t="shared" ref="K3319:K3327" si="314">I3319*F3319</f>
        <v>4752.3100000000004</v>
      </c>
      <c r="O3319" s="296" t="s">
        <v>3272</v>
      </c>
      <c r="Q3319" s="538">
        <v>0.94</v>
      </c>
      <c r="R3319" s="443" t="s">
        <v>2283</v>
      </c>
      <c r="W3319" s="253"/>
    </row>
    <row r="3320" spans="6:23" ht="20.25" customHeight="1">
      <c r="F3320" s="586">
        <v>4.5879999999999997E-2</v>
      </c>
      <c r="G3320" s="257" t="s">
        <v>869</v>
      </c>
      <c r="H3320" s="587" t="s">
        <v>5891</v>
      </c>
      <c r="I3320" s="588">
        <v>107000</v>
      </c>
      <c r="J3320" s="272" t="s">
        <v>869</v>
      </c>
      <c r="K3320" s="257">
        <f t="shared" si="314"/>
        <v>4909.16</v>
      </c>
      <c r="O3320" s="296" t="s">
        <v>3287</v>
      </c>
      <c r="Q3320" s="538">
        <v>0.45</v>
      </c>
      <c r="R3320" s="443" t="s">
        <v>2151</v>
      </c>
      <c r="W3320" s="253"/>
    </row>
    <row r="3321" spans="6:23" ht="20.25" customHeight="1">
      <c r="F3321" s="563">
        <v>3.95</v>
      </c>
      <c r="G3321" s="274" t="s">
        <v>609</v>
      </c>
      <c r="H3321" s="274" t="s">
        <v>883</v>
      </c>
      <c r="I3321" s="274">
        <f>P3261</f>
        <v>1537</v>
      </c>
      <c r="J3321" s="276" t="s">
        <v>609</v>
      </c>
      <c r="K3321" s="274">
        <f t="shared" si="314"/>
        <v>6071.15</v>
      </c>
      <c r="O3321" s="296" t="s">
        <v>3274</v>
      </c>
      <c r="Q3321" s="538">
        <v>7.9</v>
      </c>
      <c r="R3321" s="443" t="s">
        <v>826</v>
      </c>
      <c r="W3321" s="253"/>
    </row>
    <row r="3322" spans="6:23" ht="20.25" customHeight="1">
      <c r="F3322" s="274">
        <v>2</v>
      </c>
      <c r="G3322" s="274" t="s">
        <v>1873</v>
      </c>
      <c r="H3322" s="274" t="s">
        <v>2123</v>
      </c>
      <c r="I3322" s="274">
        <f t="shared" ref="I3322:I3327" si="315">P3262</f>
        <v>57.65</v>
      </c>
      <c r="J3322" s="276" t="s">
        <v>1398</v>
      </c>
      <c r="K3322" s="274">
        <f t="shared" si="314"/>
        <v>115.3</v>
      </c>
      <c r="Q3322" s="358"/>
      <c r="R3322" s="358"/>
      <c r="W3322" s="253"/>
    </row>
    <row r="3323" spans="6:23" ht="20.25"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0.25"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0.25"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0.25"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0.25"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0.25" customHeight="1">
      <c r="F3328" s="274">
        <v>10</v>
      </c>
      <c r="G3328" s="274"/>
      <c r="H3328" s="589" t="s">
        <v>1899</v>
      </c>
      <c r="I3328" s="274">
        <f>I3290</f>
        <v>2.41</v>
      </c>
      <c r="J3328" s="276"/>
      <c r="K3328" s="274">
        <v>24.3</v>
      </c>
      <c r="M3328" s="316">
        <v>3.1219999999999999</v>
      </c>
      <c r="N3328" s="252" t="s">
        <v>609</v>
      </c>
      <c r="O3328" s="296" t="s">
        <v>447</v>
      </c>
      <c r="P3328" s="252">
        <f t="shared" si="317"/>
        <v>0</v>
      </c>
      <c r="Q3328" s="253" t="s">
        <v>609</v>
      </c>
      <c r="R3328" s="252">
        <f t="shared" si="316"/>
        <v>0</v>
      </c>
      <c r="W3328" s="253"/>
    </row>
    <row r="3329" spans="6:23" ht="20.25" customHeight="1">
      <c r="F3329" s="274"/>
      <c r="G3329" s="274"/>
      <c r="H3329" s="274" t="s">
        <v>6029</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0.25" customHeight="1">
      <c r="F3330" s="274"/>
      <c r="G3330" s="274"/>
      <c r="H3330" s="274"/>
      <c r="I3330" s="274"/>
      <c r="J3330" s="276"/>
      <c r="K3330" s="535" t="s">
        <v>146</v>
      </c>
      <c r="M3330" s="252">
        <v>8</v>
      </c>
      <c r="N3330" s="252" t="s">
        <v>868</v>
      </c>
      <c r="O3330" s="296" t="s">
        <v>1464</v>
      </c>
      <c r="P3330" s="252">
        <f t="shared" si="317"/>
        <v>89.6</v>
      </c>
      <c r="Q3330" s="253" t="s">
        <v>868</v>
      </c>
      <c r="R3330" s="252">
        <f t="shared" si="316"/>
        <v>716.8</v>
      </c>
      <c r="W3330" s="253"/>
    </row>
    <row r="3331" spans="6:23" ht="20.25"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0.25" customHeight="1">
      <c r="F3332" s="274"/>
      <c r="G3332" s="274"/>
      <c r="H3332" s="274"/>
      <c r="I3332" s="274"/>
      <c r="J3332" s="276"/>
      <c r="K3332" s="535" t="s">
        <v>146</v>
      </c>
      <c r="M3332" s="252">
        <v>1</v>
      </c>
      <c r="N3332" s="252" t="s">
        <v>868</v>
      </c>
      <c r="O3332" s="296" t="s">
        <v>3266</v>
      </c>
      <c r="P3332" s="252">
        <f t="shared" si="317"/>
        <v>209.9</v>
      </c>
      <c r="Q3332" s="253" t="s">
        <v>868</v>
      </c>
      <c r="R3332" s="252">
        <f t="shared" si="316"/>
        <v>209.9</v>
      </c>
      <c r="W3332" s="253"/>
    </row>
    <row r="3333" spans="6:23" ht="20.25" customHeight="1">
      <c r="J3333" s="252"/>
      <c r="M3333" s="252">
        <v>2</v>
      </c>
      <c r="N3333" s="252" t="s">
        <v>868</v>
      </c>
      <c r="O3333" s="296" t="s">
        <v>3267</v>
      </c>
      <c r="P3333" s="252">
        <f t="shared" si="317"/>
        <v>23.1</v>
      </c>
      <c r="Q3333" s="253" t="s">
        <v>868</v>
      </c>
      <c r="R3333" s="252">
        <f t="shared" si="316"/>
        <v>46.2</v>
      </c>
      <c r="W3333" s="253"/>
    </row>
    <row r="3334" spans="6:23" ht="20.25" customHeight="1">
      <c r="J3334" s="252"/>
      <c r="M3334" s="252">
        <v>2</v>
      </c>
      <c r="N3334" s="252" t="s">
        <v>868</v>
      </c>
      <c r="O3334" s="296" t="s">
        <v>3268</v>
      </c>
      <c r="P3334" s="252">
        <f t="shared" si="317"/>
        <v>49.55</v>
      </c>
      <c r="Q3334" s="253" t="s">
        <v>868</v>
      </c>
      <c r="R3334" s="252">
        <f t="shared" si="316"/>
        <v>99.1</v>
      </c>
      <c r="W3334" s="253"/>
    </row>
    <row r="3335" spans="6:23" ht="20.25" customHeight="1">
      <c r="J3335" s="252"/>
      <c r="M3335" s="252">
        <v>118</v>
      </c>
      <c r="N3335" s="252" t="s">
        <v>868</v>
      </c>
      <c r="O3335" s="252" t="s">
        <v>1336</v>
      </c>
      <c r="P3335" s="252">
        <f>P3268</f>
        <v>2.41</v>
      </c>
      <c r="Q3335" s="253" t="s">
        <v>868</v>
      </c>
      <c r="R3335" s="252">
        <f t="shared" si="316"/>
        <v>284.38</v>
      </c>
      <c r="W3335" s="253"/>
    </row>
    <row r="3336" spans="6:23" ht="20.25" customHeight="1">
      <c r="F3336" s="253"/>
      <c r="G3336" s="252" t="s">
        <v>2251</v>
      </c>
      <c r="H3336" s="296" t="s">
        <v>6140</v>
      </c>
      <c r="J3336" s="253"/>
      <c r="Q3336" s="253"/>
      <c r="R3336" s="358" t="s">
        <v>1586</v>
      </c>
      <c r="W3336" s="253"/>
    </row>
    <row r="3337" spans="6:23" ht="20.25" customHeight="1">
      <c r="H3337" s="296" t="s">
        <v>1524</v>
      </c>
      <c r="J3337" s="253"/>
      <c r="O3337" s="296" t="s">
        <v>3269</v>
      </c>
      <c r="Q3337" s="253"/>
      <c r="R3337" s="252">
        <f>SUM(R3323:R3335)</f>
        <v>11877.97</v>
      </c>
      <c r="W3337" s="253"/>
    </row>
    <row r="3338" spans="6:23" ht="20.25" customHeight="1">
      <c r="H3338" s="276" t="s">
        <v>1898</v>
      </c>
      <c r="J3338" s="253"/>
      <c r="Q3338" s="253"/>
      <c r="R3338" s="358" t="s">
        <v>1586</v>
      </c>
      <c r="W3338" s="253"/>
    </row>
    <row r="3339" spans="6:23" ht="20.25" customHeight="1">
      <c r="H3339" s="358" t="s">
        <v>1586</v>
      </c>
      <c r="J3339" s="253"/>
      <c r="O3339" s="276" t="s">
        <v>552</v>
      </c>
      <c r="Q3339" s="360" t="s">
        <v>721</v>
      </c>
      <c r="R3339" s="274">
        <f>R3337/M3328</f>
        <v>3804.6</v>
      </c>
      <c r="W3339" s="253"/>
    </row>
    <row r="3340" spans="6:23" ht="20.25" customHeight="1">
      <c r="F3340" s="252">
        <v>1.34</v>
      </c>
      <c r="G3340" s="252" t="s">
        <v>1645</v>
      </c>
      <c r="H3340" s="534" t="s">
        <v>5351</v>
      </c>
      <c r="I3340" s="362">
        <v>73.8</v>
      </c>
      <c r="J3340" s="296" t="s">
        <v>1645</v>
      </c>
      <c r="K3340" s="252">
        <f>(F3340*I3340)</f>
        <v>98.89</v>
      </c>
      <c r="W3340" s="253"/>
    </row>
    <row r="3341" spans="6:23" ht="20.25" customHeight="1">
      <c r="F3341" s="252">
        <v>0.5</v>
      </c>
      <c r="G3341" s="252" t="s">
        <v>769</v>
      </c>
      <c r="H3341" s="296" t="s">
        <v>1179</v>
      </c>
      <c r="I3341" s="252">
        <f>AE13</f>
        <v>797</v>
      </c>
      <c r="J3341" s="252" t="s">
        <v>769</v>
      </c>
      <c r="K3341" s="252">
        <f>(F3341*I3341)</f>
        <v>398.5</v>
      </c>
      <c r="W3341" s="253"/>
    </row>
    <row r="3342" spans="6:23" ht="20.25"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0.25" customHeight="1">
      <c r="F3343" s="252">
        <v>0.8</v>
      </c>
      <c r="G3343" s="252" t="s">
        <v>769</v>
      </c>
      <c r="H3343" s="296" t="s">
        <v>320</v>
      </c>
      <c r="I3343" s="252">
        <f>AE12</f>
        <v>534</v>
      </c>
      <c r="J3343" s="252" t="s">
        <v>769</v>
      </c>
      <c r="K3343" s="252">
        <f>(F3343*I3343)</f>
        <v>427.2</v>
      </c>
      <c r="O3343" s="296" t="s">
        <v>256</v>
      </c>
      <c r="Q3343" s="253"/>
      <c r="W3343" s="253"/>
    </row>
    <row r="3344" spans="6:23" ht="20.25" customHeight="1">
      <c r="G3344" s="252" t="s">
        <v>449</v>
      </c>
      <c r="H3344" s="296" t="s">
        <v>1181</v>
      </c>
      <c r="I3344" s="296" t="s">
        <v>975</v>
      </c>
      <c r="J3344" s="253" t="s">
        <v>449</v>
      </c>
      <c r="K3344" s="252">
        <v>2.6</v>
      </c>
      <c r="O3344" s="515" t="s">
        <v>3288</v>
      </c>
      <c r="Q3344" s="253"/>
      <c r="W3344" s="253"/>
    </row>
    <row r="3345" spans="6:23" ht="20.25" customHeight="1">
      <c r="J3345" s="253"/>
      <c r="K3345" s="358" t="s">
        <v>1586</v>
      </c>
      <c r="O3345" s="358" t="s">
        <v>1586</v>
      </c>
      <c r="Q3345" s="253"/>
      <c r="W3345" s="253"/>
    </row>
    <row r="3346" spans="6:23" ht="20.25" customHeight="1">
      <c r="H3346" s="296" t="s">
        <v>441</v>
      </c>
      <c r="J3346" s="253"/>
      <c r="K3346" s="252">
        <f>SUM(K3340:K3345)</f>
        <v>1252.69</v>
      </c>
      <c r="O3346" s="296" t="s">
        <v>3385</v>
      </c>
      <c r="P3346" s="407" t="s">
        <v>2055</v>
      </c>
      <c r="Q3346" s="462">
        <v>1.734</v>
      </c>
      <c r="R3346" s="252" t="s">
        <v>2283</v>
      </c>
      <c r="W3346" s="253"/>
    </row>
    <row r="3347" spans="6:23" ht="20.25" customHeight="1">
      <c r="J3347" s="253"/>
      <c r="K3347" s="358" t="s">
        <v>1586</v>
      </c>
      <c r="O3347" s="296"/>
      <c r="P3347" s="407"/>
      <c r="Q3347" s="462"/>
      <c r="W3347" s="253"/>
    </row>
    <row r="3348" spans="6:23" ht="20.25" customHeight="1">
      <c r="H3348" s="276" t="s">
        <v>552</v>
      </c>
      <c r="J3348" s="253"/>
      <c r="K3348" s="274">
        <f>(K3346/10)</f>
        <v>125.27</v>
      </c>
      <c r="O3348" s="296" t="s">
        <v>6141</v>
      </c>
      <c r="P3348" s="407" t="s">
        <v>2055</v>
      </c>
      <c r="Q3348" s="538">
        <v>3.9E-2</v>
      </c>
      <c r="R3348" s="252" t="s">
        <v>2151</v>
      </c>
      <c r="W3348" s="253"/>
    </row>
    <row r="3349" spans="6:23" ht="20.25" customHeight="1">
      <c r="F3349" s="296" t="s">
        <v>975</v>
      </c>
      <c r="J3349" s="253"/>
      <c r="O3349" s="296" t="s">
        <v>3259</v>
      </c>
      <c r="Q3349" s="407"/>
      <c r="W3349" s="253"/>
    </row>
    <row r="3350" spans="6:23" ht="20.25" customHeight="1">
      <c r="J3350" s="252"/>
      <c r="O3350" s="296" t="s">
        <v>2759</v>
      </c>
      <c r="P3350" s="407" t="s">
        <v>2055</v>
      </c>
      <c r="Q3350" s="578">
        <v>1.2659999999999999E-2</v>
      </c>
      <c r="W3350" s="253"/>
    </row>
    <row r="3351" spans="6:23" ht="20.25" customHeight="1">
      <c r="H3351" s="274" t="s">
        <v>4246</v>
      </c>
      <c r="J3351" s="252"/>
      <c r="O3351" s="296" t="s">
        <v>2766</v>
      </c>
      <c r="P3351" s="407" t="s">
        <v>2055</v>
      </c>
      <c r="Q3351" s="582">
        <v>5.6249999999999998E-3</v>
      </c>
      <c r="R3351" s="400"/>
      <c r="W3351" s="253"/>
    </row>
    <row r="3352" spans="6:23" ht="20.25" customHeight="1">
      <c r="J3352" s="252"/>
      <c r="Q3352" s="358" t="s">
        <v>1586</v>
      </c>
      <c r="W3352" s="253"/>
    </row>
    <row r="3353" spans="6:23" ht="20.25" customHeight="1">
      <c r="F3353" s="252">
        <v>1.4</v>
      </c>
      <c r="G3353" s="252" t="s">
        <v>1238</v>
      </c>
      <c r="H3353" s="252" t="s">
        <v>1200</v>
      </c>
      <c r="I3353" s="407">
        <f>I3366</f>
        <v>295.60000000000002</v>
      </c>
      <c r="J3353" s="252" t="s">
        <v>1238</v>
      </c>
      <c r="K3353" s="252">
        <f>I3353*F3353</f>
        <v>413.84</v>
      </c>
      <c r="Q3353" s="579">
        <v>1.8290000000000001E-2</v>
      </c>
      <c r="R3353" s="252" t="s">
        <v>2151</v>
      </c>
      <c r="W3353" s="253"/>
    </row>
    <row r="3354" spans="6:23" ht="20.25" customHeight="1">
      <c r="F3354" s="252">
        <v>1.5</v>
      </c>
      <c r="G3354" s="252" t="s">
        <v>769</v>
      </c>
      <c r="H3354" s="252" t="s">
        <v>4248</v>
      </c>
      <c r="I3354" s="407">
        <f>I3367</f>
        <v>797</v>
      </c>
      <c r="J3354" s="252" t="s">
        <v>769</v>
      </c>
      <c r="K3354" s="252">
        <f>I3354*F3354</f>
        <v>1195.5</v>
      </c>
      <c r="Q3354" s="358" t="s">
        <v>1586</v>
      </c>
      <c r="W3354" s="253"/>
    </row>
    <row r="3355" spans="6:23" ht="20.25" customHeight="1">
      <c r="F3355" s="252">
        <v>10</v>
      </c>
      <c r="G3355" s="252" t="s">
        <v>2283</v>
      </c>
      <c r="H3355" s="296" t="s">
        <v>3866</v>
      </c>
      <c r="I3355" s="407">
        <f>I3368</f>
        <v>0</v>
      </c>
      <c r="J3355" s="252" t="s">
        <v>2283</v>
      </c>
      <c r="K3355" s="252">
        <f>I3355*F3355</f>
        <v>0</v>
      </c>
      <c r="O3355" s="296" t="s">
        <v>2760</v>
      </c>
      <c r="Q3355" s="580">
        <v>0.4113</v>
      </c>
      <c r="R3355" s="400"/>
      <c r="W3355" s="253"/>
    </row>
    <row r="3356" spans="6:23" ht="20.25" customHeight="1">
      <c r="H3356" s="296" t="s">
        <v>3039</v>
      </c>
      <c r="I3356" s="407" t="s">
        <v>3040</v>
      </c>
      <c r="J3356" s="253"/>
      <c r="K3356" s="252">
        <v>4.33</v>
      </c>
      <c r="O3356" s="296" t="s">
        <v>2761</v>
      </c>
      <c r="Q3356" s="580">
        <v>0.19689999999999999</v>
      </c>
      <c r="R3356" s="400"/>
      <c r="W3356" s="253"/>
    </row>
    <row r="3357" spans="6:23" ht="20.25" customHeight="1">
      <c r="H3357" s="296" t="s">
        <v>441</v>
      </c>
      <c r="J3357" s="253"/>
      <c r="K3357" s="252">
        <f>SUM(K3353:K3356)</f>
        <v>1613.67</v>
      </c>
      <c r="O3357" s="296"/>
      <c r="Q3357" s="358" t="s">
        <v>1586</v>
      </c>
      <c r="R3357" s="400"/>
      <c r="W3357" s="253"/>
    </row>
    <row r="3358" spans="6:23" ht="20.25" customHeight="1">
      <c r="H3358" s="276" t="s">
        <v>552</v>
      </c>
      <c r="J3358" s="253"/>
      <c r="K3358" s="252">
        <f>K3357/10</f>
        <v>161.37</v>
      </c>
      <c r="O3358" s="296"/>
      <c r="Q3358" s="538">
        <v>0.60819999999999996</v>
      </c>
      <c r="R3358" s="274"/>
      <c r="W3358" s="253"/>
    </row>
    <row r="3359" spans="6:23" ht="20.25" customHeight="1">
      <c r="J3359" s="253"/>
      <c r="Q3359" s="358" t="s">
        <v>1586</v>
      </c>
      <c r="R3359" s="358"/>
      <c r="W3359" s="253"/>
    </row>
    <row r="3360" spans="6:23" ht="20.25" customHeight="1">
      <c r="J3360" s="253"/>
      <c r="M3360" s="400">
        <v>3.9E-2</v>
      </c>
      <c r="N3360" s="252" t="s">
        <v>869</v>
      </c>
      <c r="O3360" s="296" t="s">
        <v>308</v>
      </c>
      <c r="P3360" s="252">
        <f>P3291</f>
        <v>111600</v>
      </c>
      <c r="Q3360" s="253" t="s">
        <v>869</v>
      </c>
      <c r="R3360" s="252">
        <f>P3360*M3360</f>
        <v>4352.3999999999996</v>
      </c>
      <c r="W3360" s="253"/>
    </row>
    <row r="3361" spans="6:23" ht="20.25"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0.25" customHeight="1">
      <c r="J3362" s="252"/>
      <c r="M3362" s="400">
        <v>0.60819999999999996</v>
      </c>
      <c r="N3362" s="252" t="s">
        <v>609</v>
      </c>
      <c r="O3362" s="296" t="s">
        <v>2091</v>
      </c>
      <c r="P3362" s="252">
        <f>P3325</f>
        <v>387.4</v>
      </c>
      <c r="Q3362" s="253" t="s">
        <v>869</v>
      </c>
      <c r="R3362" s="252">
        <f t="shared" si="318"/>
        <v>235.62</v>
      </c>
      <c r="W3362" s="253"/>
    </row>
    <row r="3363" spans="6:23" ht="20.25" customHeight="1">
      <c r="J3363" s="252"/>
      <c r="M3363" s="316">
        <v>1.734</v>
      </c>
      <c r="N3363" s="252" t="s">
        <v>609</v>
      </c>
      <c r="O3363" s="296" t="s">
        <v>447</v>
      </c>
      <c r="P3363" s="252">
        <f>P3328</f>
        <v>0</v>
      </c>
      <c r="Q3363" s="253" t="s">
        <v>609</v>
      </c>
      <c r="R3363" s="252">
        <f t="shared" si="318"/>
        <v>0</v>
      </c>
      <c r="W3363" s="253"/>
    </row>
    <row r="3364" spans="6:23" ht="20.25" customHeight="1">
      <c r="H3364" s="274" t="s">
        <v>4247</v>
      </c>
      <c r="J3364" s="252"/>
      <c r="M3364" s="252">
        <v>2</v>
      </c>
      <c r="N3364" s="252" t="s">
        <v>769</v>
      </c>
      <c r="O3364" s="296" t="s">
        <v>3264</v>
      </c>
      <c r="P3364" s="252">
        <f t="shared" ref="P3364:P3369" si="319">P3295</f>
        <v>57.65</v>
      </c>
      <c r="Q3364" s="253" t="s">
        <v>868</v>
      </c>
      <c r="R3364" s="252">
        <f t="shared" si="318"/>
        <v>115.3</v>
      </c>
      <c r="W3364" s="253"/>
    </row>
    <row r="3365" spans="6:23" ht="20.25" customHeight="1">
      <c r="J3365" s="252"/>
      <c r="M3365" s="252">
        <v>4</v>
      </c>
      <c r="N3365" s="252" t="s">
        <v>868</v>
      </c>
      <c r="O3365" s="296" t="s">
        <v>1464</v>
      </c>
      <c r="P3365" s="252">
        <f t="shared" si="319"/>
        <v>89.6</v>
      </c>
      <c r="Q3365" s="253" t="s">
        <v>868</v>
      </c>
      <c r="R3365" s="252">
        <f t="shared" si="318"/>
        <v>358.4</v>
      </c>
      <c r="W3365" s="253"/>
    </row>
    <row r="3366" spans="6:23" ht="20.25"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0.25" customHeight="1">
      <c r="F3367" s="252">
        <v>0.7</v>
      </c>
      <c r="G3367" s="252" t="s">
        <v>769</v>
      </c>
      <c r="H3367" s="252" t="s">
        <v>4248</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0.25" customHeight="1">
      <c r="F3368" s="252">
        <v>10</v>
      </c>
      <c r="G3368" s="252" t="s">
        <v>2283</v>
      </c>
      <c r="H3368" s="296" t="s">
        <v>3866</v>
      </c>
      <c r="I3368" s="252">
        <f>I3185</f>
        <v>0</v>
      </c>
      <c r="J3368" s="252" t="s">
        <v>2283</v>
      </c>
      <c r="K3368" s="252">
        <f>I3368*F3368</f>
        <v>0</v>
      </c>
      <c r="M3368" s="252">
        <v>1</v>
      </c>
      <c r="N3368" s="252" t="s">
        <v>868</v>
      </c>
      <c r="O3368" s="296" t="s">
        <v>3267</v>
      </c>
      <c r="P3368" s="252">
        <f t="shared" si="319"/>
        <v>23.1</v>
      </c>
      <c r="Q3368" s="253" t="s">
        <v>868</v>
      </c>
      <c r="R3368" s="252">
        <f t="shared" si="318"/>
        <v>23.1</v>
      </c>
      <c r="W3368" s="253"/>
    </row>
    <row r="3369" spans="6:23" ht="20.25"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0.25" customHeight="1">
      <c r="H3370" s="296" t="s">
        <v>441</v>
      </c>
      <c r="J3370" s="253"/>
      <c r="K3370" s="252">
        <f>SUM(K3366:K3369)</f>
        <v>795.98</v>
      </c>
      <c r="M3370" s="252">
        <v>58</v>
      </c>
      <c r="N3370" s="252" t="s">
        <v>868</v>
      </c>
      <c r="O3370" s="252" t="s">
        <v>1336</v>
      </c>
      <c r="P3370" s="252">
        <f>P3335</f>
        <v>2.41</v>
      </c>
      <c r="Q3370" s="253" t="s">
        <v>868</v>
      </c>
      <c r="R3370" s="252">
        <f t="shared" si="318"/>
        <v>139.78</v>
      </c>
      <c r="W3370" s="253"/>
    </row>
    <row r="3371" spans="6:23" ht="20.25" customHeight="1">
      <c r="H3371" s="276" t="s">
        <v>552</v>
      </c>
      <c r="J3371" s="253"/>
      <c r="K3371" s="252">
        <f>K3370/10</f>
        <v>79.599999999999994</v>
      </c>
      <c r="Q3371" s="253"/>
      <c r="R3371" s="358" t="s">
        <v>1586</v>
      </c>
      <c r="W3371" s="253"/>
    </row>
    <row r="3372" spans="6:23" ht="20.25" customHeight="1">
      <c r="O3372" s="296" t="s">
        <v>2762</v>
      </c>
      <c r="Q3372" s="253"/>
      <c r="R3372" s="252">
        <f>SUM(R3360:R3370)</f>
        <v>7497.78</v>
      </c>
      <c r="W3372" s="253"/>
    </row>
    <row r="3373" spans="6:23" ht="20.25" customHeight="1">
      <c r="Q3373" s="253"/>
      <c r="R3373" s="358" t="s">
        <v>1586</v>
      </c>
      <c r="W3373" s="253"/>
    </row>
    <row r="3374" spans="6:23" ht="20.25" customHeight="1">
      <c r="H3374" s="296"/>
      <c r="I3374" s="407"/>
      <c r="J3374" s="462"/>
      <c r="O3374" s="276" t="s">
        <v>552</v>
      </c>
      <c r="Q3374" s="360" t="s">
        <v>721</v>
      </c>
      <c r="R3374" s="274">
        <f>R3372/M3363</f>
        <v>4323.9799999999996</v>
      </c>
      <c r="W3374" s="253"/>
    </row>
    <row r="3375" spans="6:23" ht="20.25" customHeight="1">
      <c r="H3375" s="296" t="s">
        <v>6141</v>
      </c>
      <c r="I3375" s="407" t="s">
        <v>2055</v>
      </c>
      <c r="J3375" s="538">
        <v>3.9E-2</v>
      </c>
      <c r="K3375" s="252" t="s">
        <v>2151</v>
      </c>
      <c r="Q3375" s="296"/>
      <c r="R3375" s="358" t="s">
        <v>2055</v>
      </c>
      <c r="W3375" s="253"/>
    </row>
    <row r="3376" spans="6:23" ht="20.25" customHeight="1">
      <c r="H3376" s="296" t="s">
        <v>3259</v>
      </c>
      <c r="J3376" s="407"/>
      <c r="M3376" s="253"/>
      <c r="N3376" s="252" t="s">
        <v>2251</v>
      </c>
      <c r="O3376" s="296" t="s">
        <v>3289</v>
      </c>
      <c r="Q3376" s="253"/>
      <c r="W3376" s="253"/>
    </row>
    <row r="3377" spans="6:23" ht="20.25" customHeight="1">
      <c r="H3377" s="296" t="s">
        <v>2765</v>
      </c>
      <c r="I3377" s="407" t="s">
        <v>2055</v>
      </c>
      <c r="J3377" s="578">
        <v>1.519E-2</v>
      </c>
      <c r="O3377" s="296" t="s">
        <v>256</v>
      </c>
      <c r="Q3377" s="253"/>
      <c r="W3377" s="253"/>
    </row>
    <row r="3378" spans="6:23" ht="20.25" customHeight="1">
      <c r="H3378" s="296" t="s">
        <v>2767</v>
      </c>
      <c r="I3378" s="407" t="s">
        <v>2055</v>
      </c>
      <c r="J3378" s="582">
        <v>6.7499999999999999E-3</v>
      </c>
      <c r="K3378" s="400"/>
      <c r="O3378" s="515" t="s">
        <v>2763</v>
      </c>
      <c r="Q3378" s="253"/>
      <c r="W3378" s="253"/>
    </row>
    <row r="3379" spans="6:23" ht="20.25" customHeight="1">
      <c r="J3379" s="358" t="s">
        <v>1586</v>
      </c>
      <c r="O3379" s="358" t="s">
        <v>1586</v>
      </c>
      <c r="Q3379" s="253"/>
      <c r="W3379" s="253"/>
    </row>
    <row r="3380" spans="6:23" ht="20.25" customHeight="1">
      <c r="J3380" s="579">
        <v>2.1940000000000001E-2</v>
      </c>
      <c r="K3380" s="252" t="s">
        <v>2151</v>
      </c>
      <c r="O3380" s="296" t="s">
        <v>2764</v>
      </c>
      <c r="P3380" s="407" t="s">
        <v>2055</v>
      </c>
      <c r="Q3380" s="462">
        <v>2.081</v>
      </c>
      <c r="R3380" s="252" t="s">
        <v>2283</v>
      </c>
      <c r="W3380" s="253"/>
    </row>
    <row r="3381" spans="6:23" ht="20.25" customHeight="1">
      <c r="J3381" s="358" t="s">
        <v>1586</v>
      </c>
      <c r="O3381" s="296"/>
      <c r="P3381" s="407"/>
      <c r="Q3381" s="462"/>
      <c r="W3381" s="253"/>
    </row>
    <row r="3382" spans="6:23" ht="20.25" customHeight="1">
      <c r="H3382" s="296" t="s">
        <v>3284</v>
      </c>
      <c r="J3382" s="580">
        <v>0.58750000000000002</v>
      </c>
      <c r="K3382" s="400"/>
      <c r="O3382" s="296" t="s">
        <v>6141</v>
      </c>
      <c r="P3382" s="407" t="s">
        <v>2055</v>
      </c>
      <c r="Q3382" s="538">
        <v>3.9E-2</v>
      </c>
      <c r="R3382" s="252" t="s">
        <v>2151</v>
      </c>
      <c r="W3382" s="253"/>
    </row>
    <row r="3383" spans="6:23" ht="20.25" customHeight="1">
      <c r="H3383" s="296" t="s">
        <v>3285</v>
      </c>
      <c r="J3383" s="580">
        <v>0.28129999999999999</v>
      </c>
      <c r="K3383" s="400"/>
      <c r="O3383" s="296" t="s">
        <v>3259</v>
      </c>
      <c r="Q3383" s="407"/>
      <c r="W3383" s="253"/>
    </row>
    <row r="3384" spans="6:23" ht="20.25" customHeight="1">
      <c r="H3384" s="296"/>
      <c r="J3384" s="358" t="s">
        <v>1586</v>
      </c>
      <c r="K3384" s="400"/>
      <c r="O3384" s="296" t="s">
        <v>2765</v>
      </c>
      <c r="P3384" s="407" t="s">
        <v>2055</v>
      </c>
      <c r="Q3384" s="578">
        <v>1.519E-2</v>
      </c>
      <c r="W3384" s="253"/>
    </row>
    <row r="3385" spans="6:23" ht="20.25" customHeight="1">
      <c r="H3385" s="296"/>
      <c r="J3385" s="538">
        <v>0.86880000000000002</v>
      </c>
      <c r="K3385" s="274"/>
      <c r="O3385" s="296" t="s">
        <v>2767</v>
      </c>
      <c r="P3385" s="407" t="s">
        <v>2055</v>
      </c>
      <c r="Q3385" s="582">
        <v>6.7499999999999999E-3</v>
      </c>
      <c r="R3385" s="400"/>
      <c r="W3385" s="253"/>
    </row>
    <row r="3386" spans="6:23" ht="20.25" customHeight="1">
      <c r="J3386" s="358" t="s">
        <v>1586</v>
      </c>
      <c r="K3386" s="358"/>
      <c r="Q3386" s="358" t="s">
        <v>1586</v>
      </c>
      <c r="W3386" s="253"/>
    </row>
    <row r="3387" spans="6:23" ht="20.25" customHeight="1">
      <c r="F3387" s="400">
        <v>3.9E-2</v>
      </c>
      <c r="G3387" s="252" t="s">
        <v>869</v>
      </c>
      <c r="H3387" s="296" t="s">
        <v>308</v>
      </c>
      <c r="I3387" s="252">
        <f>C88</f>
        <v>111600</v>
      </c>
      <c r="J3387" s="253" t="s">
        <v>869</v>
      </c>
      <c r="K3387" s="252">
        <v>2868.26</v>
      </c>
      <c r="Q3387" s="579">
        <v>2.1940000000000001E-2</v>
      </c>
      <c r="R3387" s="252" t="s">
        <v>2151</v>
      </c>
      <c r="W3387" s="253"/>
    </row>
    <row r="3388" spans="6:23" ht="20.25" customHeight="1">
      <c r="F3388" s="400">
        <v>2.1940000000000001E-2</v>
      </c>
      <c r="G3388" s="252" t="s">
        <v>869</v>
      </c>
      <c r="H3388" s="296" t="s">
        <v>309</v>
      </c>
      <c r="I3388" s="252">
        <f>C89</f>
        <v>99400</v>
      </c>
      <c r="J3388" s="253" t="s">
        <v>869</v>
      </c>
      <c r="K3388" s="252">
        <v>1435.86</v>
      </c>
      <c r="Q3388" s="358" t="s">
        <v>1586</v>
      </c>
      <c r="W3388" s="253"/>
    </row>
    <row r="3389" spans="6:23" ht="20.25" customHeight="1">
      <c r="F3389" s="400">
        <v>0.86880000000000002</v>
      </c>
      <c r="G3389" s="252" t="s">
        <v>609</v>
      </c>
      <c r="H3389" s="296" t="s">
        <v>2091</v>
      </c>
      <c r="I3389" s="252">
        <f>C783</f>
        <v>387.4</v>
      </c>
      <c r="J3389" s="253" t="s">
        <v>869</v>
      </c>
      <c r="K3389" s="252">
        <v>336.66</v>
      </c>
      <c r="O3389" s="296" t="s">
        <v>3284</v>
      </c>
      <c r="Q3389" s="580">
        <v>0.58750000000000002</v>
      </c>
      <c r="R3389" s="400"/>
      <c r="W3389" s="253"/>
    </row>
    <row r="3390" spans="6:23" ht="20.25" customHeight="1">
      <c r="F3390" s="316">
        <v>2.081</v>
      </c>
      <c r="G3390" s="252" t="s">
        <v>609</v>
      </c>
      <c r="H3390" s="296" t="s">
        <v>447</v>
      </c>
      <c r="I3390" s="420">
        <v>363</v>
      </c>
      <c r="J3390" s="253" t="s">
        <v>609</v>
      </c>
      <c r="K3390" s="252">
        <v>755.4</v>
      </c>
      <c r="O3390" s="296" t="s">
        <v>3285</v>
      </c>
      <c r="Q3390" s="580">
        <v>0.28129999999999999</v>
      </c>
      <c r="R3390" s="400"/>
      <c r="W3390" s="253"/>
    </row>
    <row r="3391" spans="6:23" ht="20.25" customHeight="1">
      <c r="F3391" s="252">
        <v>2</v>
      </c>
      <c r="G3391" s="252" t="s">
        <v>769</v>
      </c>
      <c r="H3391" s="534" t="s">
        <v>3525</v>
      </c>
      <c r="I3391" s="252">
        <f t="shared" ref="I3391:I3396" si="320">I3322</f>
        <v>57.65</v>
      </c>
      <c r="J3391" s="253" t="s">
        <v>868</v>
      </c>
      <c r="K3391" s="252">
        <v>84</v>
      </c>
      <c r="O3391" s="296"/>
      <c r="Q3391" s="358" t="s">
        <v>1586</v>
      </c>
      <c r="R3391" s="400"/>
      <c r="W3391" s="253"/>
    </row>
    <row r="3392" spans="6:23" ht="20.25" customHeight="1">
      <c r="F3392" s="252">
        <v>4</v>
      </c>
      <c r="G3392" s="252" t="s">
        <v>868</v>
      </c>
      <c r="H3392" s="534" t="s">
        <v>3526</v>
      </c>
      <c r="I3392" s="252">
        <f t="shared" si="320"/>
        <v>89.6</v>
      </c>
      <c r="J3392" s="253" t="s">
        <v>868</v>
      </c>
      <c r="K3392" s="252">
        <v>232</v>
      </c>
      <c r="O3392" s="296"/>
      <c r="Q3392" s="538">
        <v>0.86880000000000002</v>
      </c>
      <c r="R3392" s="274"/>
      <c r="W3392" s="253"/>
    </row>
    <row r="3393" spans="6:23" ht="20.25" customHeight="1">
      <c r="F3393" s="252">
        <v>2</v>
      </c>
      <c r="G3393" s="252" t="s">
        <v>868</v>
      </c>
      <c r="H3393" s="534" t="s">
        <v>3527</v>
      </c>
      <c r="I3393" s="252">
        <f t="shared" si="320"/>
        <v>97.85</v>
      </c>
      <c r="J3393" s="253" t="s">
        <v>868</v>
      </c>
      <c r="K3393" s="252">
        <v>126</v>
      </c>
      <c r="Q3393" s="358" t="s">
        <v>1586</v>
      </c>
      <c r="R3393" s="358"/>
      <c r="W3393" s="253"/>
    </row>
    <row r="3394" spans="6:23" ht="20.25" customHeight="1">
      <c r="F3394" s="252">
        <v>1</v>
      </c>
      <c r="G3394" s="252" t="s">
        <v>868</v>
      </c>
      <c r="H3394" s="53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0.25" customHeight="1">
      <c r="F3395" s="252">
        <v>1</v>
      </c>
      <c r="G3395" s="252" t="s">
        <v>868</v>
      </c>
      <c r="H3395" s="53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0.25" customHeight="1">
      <c r="F3396" s="252">
        <v>1</v>
      </c>
      <c r="G3396" s="252" t="s">
        <v>868</v>
      </c>
      <c r="H3396" s="53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0.25" customHeight="1">
      <c r="H3397" s="252" t="s">
        <v>1336</v>
      </c>
      <c r="J3397" s="253"/>
      <c r="K3397" s="429"/>
      <c r="M3397" s="316">
        <v>2.081</v>
      </c>
      <c r="N3397" s="252" t="s">
        <v>609</v>
      </c>
      <c r="O3397" s="296" t="s">
        <v>447</v>
      </c>
      <c r="P3397" s="252">
        <f>P3294</f>
        <v>1281</v>
      </c>
      <c r="Q3397" s="253" t="s">
        <v>609</v>
      </c>
      <c r="R3397" s="252">
        <f t="shared" si="321"/>
        <v>2665.76</v>
      </c>
      <c r="W3397" s="253"/>
    </row>
    <row r="3398" spans="6:23" ht="20.25"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0.25"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0.25" customHeight="1">
      <c r="J3400" s="253"/>
      <c r="K3400" s="358" t="s">
        <v>1586</v>
      </c>
      <c r="M3400" s="252">
        <v>2</v>
      </c>
      <c r="N3400" s="252" t="s">
        <v>868</v>
      </c>
      <c r="O3400" s="296" t="s">
        <v>3265</v>
      </c>
      <c r="P3400" s="252">
        <f t="shared" si="322"/>
        <v>97.85</v>
      </c>
      <c r="Q3400" s="253" t="s">
        <v>868</v>
      </c>
      <c r="R3400" s="252">
        <f t="shared" si="321"/>
        <v>195.7</v>
      </c>
      <c r="W3400" s="253"/>
    </row>
    <row r="3401" spans="6:23" ht="20.25"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0.25" customHeight="1">
      <c r="K3402" s="358" t="s">
        <v>2055</v>
      </c>
      <c r="M3402" s="252">
        <v>1</v>
      </c>
      <c r="N3402" s="252" t="s">
        <v>868</v>
      </c>
      <c r="O3402" s="296" t="s">
        <v>3267</v>
      </c>
      <c r="P3402" s="252">
        <f t="shared" si="322"/>
        <v>23.1</v>
      </c>
      <c r="Q3402" s="253" t="s">
        <v>868</v>
      </c>
      <c r="R3402" s="252">
        <f t="shared" si="321"/>
        <v>23.1</v>
      </c>
      <c r="W3402" s="253"/>
    </row>
    <row r="3403" spans="6:23" ht="20.25" customHeight="1">
      <c r="M3403" s="252">
        <v>1</v>
      </c>
      <c r="N3403" s="252" t="s">
        <v>868</v>
      </c>
      <c r="O3403" s="296" t="s">
        <v>3268</v>
      </c>
      <c r="P3403" s="252">
        <f t="shared" si="322"/>
        <v>49.55</v>
      </c>
      <c r="Q3403" s="253" t="s">
        <v>868</v>
      </c>
      <c r="R3403" s="252">
        <f t="shared" si="321"/>
        <v>49.55</v>
      </c>
      <c r="W3403" s="253"/>
    </row>
    <row r="3404" spans="6:23" ht="20.25" customHeight="1">
      <c r="M3404" s="252">
        <v>58</v>
      </c>
      <c r="N3404" s="252" t="s">
        <v>868</v>
      </c>
      <c r="O3404" s="252" t="s">
        <v>1336</v>
      </c>
      <c r="P3404" s="252">
        <f>P3370</f>
        <v>2.41</v>
      </c>
      <c r="Q3404" s="253"/>
      <c r="R3404" s="252">
        <f t="shared" si="321"/>
        <v>139.78</v>
      </c>
      <c r="W3404" s="253"/>
    </row>
    <row r="3405" spans="6:23" ht="20.25" customHeight="1">
      <c r="Q3405" s="253"/>
      <c r="R3405" s="358" t="s">
        <v>1586</v>
      </c>
      <c r="W3405" s="253"/>
    </row>
    <row r="3406" spans="6:23" ht="20.25" customHeight="1">
      <c r="H3406" s="255" t="s">
        <v>3953</v>
      </c>
      <c r="I3406" s="255"/>
      <c r="O3406" s="296" t="s">
        <v>2768</v>
      </c>
      <c r="Q3406" s="253"/>
      <c r="R3406" s="252">
        <f>SUM(R3394:R3404)</f>
        <v>10627.3</v>
      </c>
      <c r="W3406" s="253"/>
    </row>
    <row r="3407" spans="6:23" ht="20.25" customHeight="1">
      <c r="Q3407" s="253"/>
      <c r="R3407" s="358" t="s">
        <v>1586</v>
      </c>
      <c r="W3407" s="253"/>
    </row>
    <row r="3408" spans="6:23" ht="20.25" customHeight="1">
      <c r="F3408" s="252" t="s">
        <v>3954</v>
      </c>
      <c r="I3408" s="537">
        <f>2*0.95*2.325</f>
        <v>4.4175000000000004</v>
      </c>
      <c r="O3408" s="276" t="s">
        <v>552</v>
      </c>
      <c r="Q3408" s="360" t="s">
        <v>721</v>
      </c>
      <c r="R3408" s="274">
        <f>R3406/M3397</f>
        <v>5106.82</v>
      </c>
      <c r="W3408" s="253"/>
    </row>
    <row r="3409" spans="6:23" ht="20.25" customHeight="1">
      <c r="F3409" s="252" t="s">
        <v>3955</v>
      </c>
      <c r="I3409" s="537">
        <f>2*2*2.325*0.075*0.0375</f>
        <v>2.6200000000000001E-2</v>
      </c>
      <c r="Q3409" s="296"/>
      <c r="R3409" s="358" t="s">
        <v>2055</v>
      </c>
      <c r="W3409" s="253"/>
    </row>
    <row r="3410" spans="6:23" ht="20.25" customHeight="1">
      <c r="F3410" s="252" t="s">
        <v>2021</v>
      </c>
      <c r="I3410" s="316">
        <f>2*3*0.95*0.15*0.0375</f>
        <v>3.2099999999999997E-2</v>
      </c>
      <c r="W3410" s="253"/>
    </row>
    <row r="3411" spans="6:23" ht="20.25" customHeight="1">
      <c r="F3411" s="252" t="s">
        <v>3956</v>
      </c>
      <c r="G3411" s="252" t="s">
        <v>3957</v>
      </c>
      <c r="I3411" s="316">
        <f>2*2*0.95*0.075*0.0375</f>
        <v>1.0699999999999999E-2</v>
      </c>
      <c r="O3411" s="274"/>
      <c r="Q3411" s="296"/>
      <c r="W3411" s="253"/>
    </row>
    <row r="3412" spans="6:23" ht="20.25" customHeight="1">
      <c r="I3412" s="538">
        <f>SUM(I3410:I3411)</f>
        <v>4.2799999999999998E-2</v>
      </c>
      <c r="W3412" s="253"/>
    </row>
    <row r="3413" spans="6:23" ht="20.25" customHeight="1">
      <c r="W3413" s="253"/>
    </row>
    <row r="3414" spans="6:23" ht="20.25" customHeight="1">
      <c r="W3414" s="253"/>
    </row>
    <row r="3415" spans="6:23" ht="20.25" customHeight="1">
      <c r="F3415" s="252" t="s">
        <v>3958</v>
      </c>
      <c r="I3415" s="316">
        <f>2*4*0.825*0.36*0.01875</f>
        <v>4.4600000000000001E-2</v>
      </c>
      <c r="W3415" s="253"/>
    </row>
    <row r="3416" spans="6:23" ht="20.25" customHeight="1">
      <c r="F3416" s="252" t="s">
        <v>3959</v>
      </c>
      <c r="I3416" s="316">
        <f>2*0.825*0.36*0.01875</f>
        <v>1.11E-2</v>
      </c>
      <c r="W3416" s="253"/>
    </row>
    <row r="3417" spans="6:23" ht="20.25" customHeight="1">
      <c r="I3417" s="538">
        <f>SUM(I3415:I3416)</f>
        <v>5.57E-2</v>
      </c>
      <c r="W3417" s="253"/>
    </row>
    <row r="3418" spans="6:23" ht="20.25" customHeight="1">
      <c r="H3418" s="274" t="s">
        <v>1622</v>
      </c>
      <c r="M3418" s="253"/>
      <c r="N3418" s="252" t="s">
        <v>2251</v>
      </c>
      <c r="O3418" s="296" t="s">
        <v>3270</v>
      </c>
      <c r="Q3418" s="253"/>
      <c r="W3418" s="253"/>
    </row>
    <row r="3419" spans="6:23" ht="20.25" customHeight="1">
      <c r="O3419" s="296" t="s">
        <v>256</v>
      </c>
      <c r="Q3419" s="253"/>
      <c r="W3419" s="253"/>
    </row>
    <row r="3420" spans="6:23" ht="20.25" customHeight="1">
      <c r="F3420" s="316">
        <f>I3409</f>
        <v>2.6200000000000001E-2</v>
      </c>
      <c r="G3420" s="252" t="s">
        <v>869</v>
      </c>
      <c r="H3420" s="252" t="s">
        <v>2487</v>
      </c>
      <c r="I3420" s="252">
        <f>I2633</f>
        <v>111600</v>
      </c>
      <c r="J3420" s="296" t="s">
        <v>869</v>
      </c>
      <c r="K3420" s="252">
        <f>F3420*I3420</f>
        <v>2923.92</v>
      </c>
      <c r="O3420" s="515" t="s">
        <v>3276</v>
      </c>
      <c r="Q3420" s="253"/>
      <c r="W3420" s="253"/>
    </row>
    <row r="3421" spans="6:23" ht="20.25"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0.25"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0.25"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0.25" customHeight="1">
      <c r="F3424" s="252">
        <v>2</v>
      </c>
      <c r="G3424" s="252" t="s">
        <v>1873</v>
      </c>
      <c r="H3424" s="252" t="s">
        <v>3736</v>
      </c>
      <c r="I3424" s="314">
        <v>450</v>
      </c>
      <c r="J3424" s="296" t="s">
        <v>1398</v>
      </c>
      <c r="K3424" s="252">
        <f t="shared" si="323"/>
        <v>900</v>
      </c>
      <c r="O3424" s="296" t="s">
        <v>6138</v>
      </c>
      <c r="P3424" s="407" t="s">
        <v>2055</v>
      </c>
      <c r="Q3424" s="538">
        <v>5.1999999999999998E-2</v>
      </c>
      <c r="R3424" s="252" t="s">
        <v>2151</v>
      </c>
      <c r="W3424" s="253"/>
    </row>
    <row r="3425" spans="6:23" ht="20.25" customHeight="1">
      <c r="F3425" s="252">
        <v>6</v>
      </c>
      <c r="G3425" s="252" t="s">
        <v>1873</v>
      </c>
      <c r="H3425" s="252" t="s">
        <v>3737</v>
      </c>
      <c r="I3425" s="314">
        <v>79</v>
      </c>
      <c r="J3425" s="296" t="s">
        <v>1398</v>
      </c>
      <c r="K3425" s="252">
        <f t="shared" si="323"/>
        <v>474</v>
      </c>
      <c r="O3425" s="296" t="s">
        <v>3259</v>
      </c>
      <c r="Q3425" s="407"/>
      <c r="W3425" s="253"/>
    </row>
    <row r="3426" spans="6:23" ht="20.25" customHeight="1">
      <c r="F3426" s="252">
        <v>4</v>
      </c>
      <c r="G3426" s="252" t="s">
        <v>1873</v>
      </c>
      <c r="H3426" s="252" t="s">
        <v>3738</v>
      </c>
      <c r="I3426" s="314">
        <v>130</v>
      </c>
      <c r="J3426" s="296" t="s">
        <v>1398</v>
      </c>
      <c r="K3426" s="252">
        <f t="shared" si="323"/>
        <v>520</v>
      </c>
      <c r="O3426" s="296" t="s">
        <v>3278</v>
      </c>
      <c r="P3426" s="407" t="s">
        <v>2055</v>
      </c>
      <c r="Q3426" s="578">
        <v>1.772E-2</v>
      </c>
      <c r="W3426" s="253"/>
    </row>
    <row r="3427" spans="6:23" ht="20.25" customHeight="1">
      <c r="F3427" s="252">
        <v>1</v>
      </c>
      <c r="G3427" s="252" t="s">
        <v>1873</v>
      </c>
      <c r="H3427" s="252" t="s">
        <v>3739</v>
      </c>
      <c r="I3427" s="314">
        <v>985</v>
      </c>
      <c r="J3427" s="296" t="s">
        <v>1398</v>
      </c>
      <c r="K3427" s="252">
        <f t="shared" si="323"/>
        <v>985</v>
      </c>
      <c r="O3427" s="296" t="s">
        <v>3279</v>
      </c>
      <c r="P3427" s="407" t="s">
        <v>2055</v>
      </c>
      <c r="Q3427" s="582">
        <v>7.8750000000000001E-3</v>
      </c>
      <c r="R3427" s="400"/>
      <c r="W3427" s="253"/>
    </row>
    <row r="3428" spans="6:23" ht="20.25" customHeight="1">
      <c r="F3428" s="252">
        <v>2</v>
      </c>
      <c r="G3428" s="252" t="s">
        <v>1873</v>
      </c>
      <c r="H3428" s="252" t="s">
        <v>3731</v>
      </c>
      <c r="I3428" s="252">
        <f>I3395</f>
        <v>23.1</v>
      </c>
      <c r="J3428" s="296" t="s">
        <v>1398</v>
      </c>
      <c r="K3428" s="252">
        <f t="shared" si="323"/>
        <v>46.2</v>
      </c>
      <c r="Q3428" s="358" t="s">
        <v>1586</v>
      </c>
      <c r="W3428" s="253"/>
    </row>
    <row r="3429" spans="6:23" ht="20.25" customHeight="1">
      <c r="F3429" s="252">
        <v>2</v>
      </c>
      <c r="G3429" s="252" t="s">
        <v>1873</v>
      </c>
      <c r="H3429" s="252" t="s">
        <v>1982</v>
      </c>
      <c r="I3429" s="252">
        <f>I3396</f>
        <v>49.55</v>
      </c>
      <c r="J3429" s="296" t="s">
        <v>1398</v>
      </c>
      <c r="K3429" s="252">
        <f t="shared" si="323"/>
        <v>99.1</v>
      </c>
      <c r="Q3429" s="579">
        <v>2.5600000000000001E-2</v>
      </c>
      <c r="R3429" s="252" t="s">
        <v>2151</v>
      </c>
      <c r="W3429" s="253"/>
    </row>
    <row r="3430" spans="6:23" ht="20.25" customHeight="1">
      <c r="F3430" s="356">
        <v>130</v>
      </c>
      <c r="G3430" s="252" t="s">
        <v>1873</v>
      </c>
      <c r="H3430" s="252" t="s">
        <v>1141</v>
      </c>
      <c r="I3430" s="590">
        <f>I3328</f>
        <v>2.41</v>
      </c>
      <c r="K3430" s="252">
        <f t="shared" si="323"/>
        <v>313.3</v>
      </c>
      <c r="Q3430" s="358" t="s">
        <v>1586</v>
      </c>
      <c r="W3430" s="253"/>
    </row>
    <row r="3431" spans="6:23" ht="20.25" customHeight="1">
      <c r="K3431" s="377"/>
      <c r="O3431" s="296" t="s">
        <v>2382</v>
      </c>
      <c r="Q3431" s="538">
        <v>0.58750000000000002</v>
      </c>
      <c r="R3431" s="443" t="s">
        <v>2283</v>
      </c>
      <c r="W3431" s="253"/>
    </row>
    <row r="3432" spans="6:23" ht="20.25" customHeight="1">
      <c r="G3432" s="274"/>
      <c r="H3432" s="274" t="s">
        <v>3961</v>
      </c>
      <c r="K3432" s="274">
        <f>SUM(K3420:K3431)</f>
        <v>23265.439999999999</v>
      </c>
      <c r="O3432" s="296" t="s">
        <v>2383</v>
      </c>
      <c r="Q3432" s="538">
        <v>5.3E-3</v>
      </c>
      <c r="R3432" s="443" t="s">
        <v>2151</v>
      </c>
      <c r="W3432" s="253"/>
    </row>
    <row r="3433" spans="6:23" ht="20.25" customHeight="1">
      <c r="G3433" s="274"/>
      <c r="K3433" s="377" t="s">
        <v>146</v>
      </c>
      <c r="O3433" s="296" t="s">
        <v>2384</v>
      </c>
      <c r="Q3433" s="538">
        <v>6.7</v>
      </c>
      <c r="R3433" s="443" t="s">
        <v>826</v>
      </c>
      <c r="W3433" s="253"/>
    </row>
    <row r="3434" spans="6:23" ht="20.25" customHeight="1">
      <c r="G3434" s="274"/>
      <c r="H3434" s="274" t="s">
        <v>552</v>
      </c>
      <c r="K3434" s="274">
        <f>K3432/F3423</f>
        <v>5266.65</v>
      </c>
      <c r="Q3434" s="358"/>
      <c r="R3434" s="358"/>
      <c r="W3434" s="253"/>
    </row>
    <row r="3435" spans="6:23" ht="20.25" customHeight="1">
      <c r="G3435" s="252" t="s">
        <v>2251</v>
      </c>
      <c r="H3435" s="296" t="s">
        <v>6142</v>
      </c>
      <c r="J3435" s="253"/>
      <c r="M3435" s="400">
        <v>5.1999999999999998E-2</v>
      </c>
      <c r="N3435" s="252" t="s">
        <v>869</v>
      </c>
      <c r="O3435" s="296" t="s">
        <v>308</v>
      </c>
      <c r="P3435" s="252">
        <f>P3221</f>
        <v>111600</v>
      </c>
      <c r="Q3435" s="253" t="s">
        <v>869</v>
      </c>
      <c r="R3435" s="252">
        <f>P3435*M3435</f>
        <v>5803.2</v>
      </c>
      <c r="W3435" s="253"/>
    </row>
    <row r="3436" spans="6:23" ht="20.25"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0.25" customHeight="1">
      <c r="H3437" s="276" t="s">
        <v>1898</v>
      </c>
      <c r="J3437" s="253"/>
      <c r="M3437" s="400">
        <v>5.3E-3</v>
      </c>
      <c r="N3437" s="252" t="s">
        <v>869</v>
      </c>
      <c r="O3437" s="296" t="s">
        <v>3263</v>
      </c>
      <c r="P3437" s="252">
        <f>P3223</f>
        <v>107000</v>
      </c>
      <c r="Q3437" s="253" t="s">
        <v>869</v>
      </c>
      <c r="R3437" s="252">
        <f t="shared" si="324"/>
        <v>567.1</v>
      </c>
      <c r="W3437" s="253"/>
    </row>
    <row r="3438" spans="6:23" ht="20.25" customHeight="1">
      <c r="H3438" s="358" t="s">
        <v>1586</v>
      </c>
      <c r="J3438" s="253"/>
      <c r="M3438" s="316"/>
      <c r="O3438" s="296" t="s">
        <v>945</v>
      </c>
      <c r="Q3438" s="253"/>
      <c r="R3438" s="252">
        <f t="shared" si="324"/>
        <v>0</v>
      </c>
      <c r="W3438" s="253"/>
    </row>
    <row r="3439" spans="6:23" ht="20.25" customHeight="1">
      <c r="F3439" s="252">
        <f>F3340</f>
        <v>1.34</v>
      </c>
      <c r="G3439" s="252" t="s">
        <v>1645</v>
      </c>
      <c r="H3439" s="534" t="s">
        <v>5351</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0.25"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0.25"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0</v>
      </c>
      <c r="Q3441" s="253" t="s">
        <v>609</v>
      </c>
      <c r="R3441" s="252">
        <f t="shared" si="324"/>
        <v>0</v>
      </c>
      <c r="W3441" s="253"/>
    </row>
    <row r="3442" spans="6:23" ht="20.25"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20.25" customHeight="1">
      <c r="F3443" s="252">
        <f>F3368</f>
        <v>10</v>
      </c>
      <c r="G3443" s="252" t="s">
        <v>2283</v>
      </c>
      <c r="H3443" s="296" t="s">
        <v>3866</v>
      </c>
      <c r="I3443" s="252">
        <f>I3355</f>
        <v>0</v>
      </c>
      <c r="J3443" s="252" t="s">
        <v>2283</v>
      </c>
      <c r="K3443" s="252">
        <f>I3443*F3443</f>
        <v>0</v>
      </c>
      <c r="M3443" s="252">
        <v>8</v>
      </c>
      <c r="N3443" s="252" t="s">
        <v>868</v>
      </c>
      <c r="O3443" s="296" t="s">
        <v>1464</v>
      </c>
      <c r="P3443" s="252">
        <f t="shared" si="325"/>
        <v>89.6</v>
      </c>
      <c r="Q3443" s="253" t="s">
        <v>868</v>
      </c>
      <c r="R3443" s="252">
        <f t="shared" si="324"/>
        <v>716.8</v>
      </c>
      <c r="W3443" s="253"/>
    </row>
    <row r="3444" spans="6:23" ht="20.25"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0.25" customHeight="1">
      <c r="H3445" s="296" t="s">
        <v>441</v>
      </c>
      <c r="J3445" s="253"/>
      <c r="K3445" s="252">
        <f>SUM(K3439:K3444)</f>
        <v>1252.5899999999999</v>
      </c>
      <c r="M3445" s="252">
        <v>1</v>
      </c>
      <c r="N3445" s="252" t="s">
        <v>868</v>
      </c>
      <c r="O3445" s="296" t="s">
        <v>3266</v>
      </c>
      <c r="P3445" s="252">
        <f t="shared" si="325"/>
        <v>209.9</v>
      </c>
      <c r="Q3445" s="253" t="s">
        <v>868</v>
      </c>
      <c r="R3445" s="252">
        <f t="shared" si="324"/>
        <v>209.9</v>
      </c>
      <c r="W3445" s="253"/>
    </row>
    <row r="3446" spans="6:23" ht="20.25" customHeight="1">
      <c r="J3446" s="253"/>
      <c r="K3446" s="358" t="s">
        <v>1586</v>
      </c>
      <c r="M3446" s="252">
        <v>2</v>
      </c>
      <c r="N3446" s="252" t="s">
        <v>868</v>
      </c>
      <c r="O3446" s="296" t="s">
        <v>3267</v>
      </c>
      <c r="P3446" s="252">
        <f t="shared" si="325"/>
        <v>23.1</v>
      </c>
      <c r="Q3446" s="253" t="s">
        <v>868</v>
      </c>
      <c r="R3446" s="252">
        <f t="shared" si="324"/>
        <v>46.2</v>
      </c>
      <c r="W3446" s="253"/>
    </row>
    <row r="3447" spans="6:23" ht="20.25" customHeight="1">
      <c r="H3447" s="276" t="s">
        <v>552</v>
      </c>
      <c r="J3447" s="253"/>
      <c r="K3447" s="274">
        <f>(K3445/10)</f>
        <v>125.26</v>
      </c>
      <c r="M3447" s="252">
        <v>2</v>
      </c>
      <c r="N3447" s="252" t="s">
        <v>868</v>
      </c>
      <c r="O3447" s="296" t="s">
        <v>3268</v>
      </c>
      <c r="P3447" s="252">
        <f t="shared" si="325"/>
        <v>49.55</v>
      </c>
      <c r="Q3447" s="253" t="s">
        <v>868</v>
      </c>
      <c r="R3447" s="252">
        <f t="shared" si="324"/>
        <v>99.1</v>
      </c>
      <c r="W3447" s="253"/>
    </row>
    <row r="3448" spans="6:23" ht="20.25" customHeight="1">
      <c r="H3448" s="276" t="s">
        <v>6050</v>
      </c>
      <c r="J3448" s="253"/>
      <c r="K3448" s="274">
        <f>K3447/2</f>
        <v>62.63</v>
      </c>
      <c r="M3448" s="252">
        <v>118</v>
      </c>
      <c r="N3448" s="252" t="s">
        <v>868</v>
      </c>
      <c r="O3448" s="252" t="s">
        <v>1336</v>
      </c>
      <c r="P3448" s="252">
        <f>P3404</f>
        <v>2.41</v>
      </c>
      <c r="Q3448" s="253" t="s">
        <v>868</v>
      </c>
      <c r="R3448" s="252">
        <f t="shared" si="324"/>
        <v>284.38</v>
      </c>
      <c r="W3448" s="253"/>
    </row>
    <row r="3449" spans="6:23" ht="20.25" customHeight="1">
      <c r="Q3449" s="253"/>
      <c r="R3449" s="358" t="s">
        <v>1586</v>
      </c>
      <c r="W3449" s="253"/>
    </row>
    <row r="3450" spans="6:23" ht="20.25" customHeight="1">
      <c r="F3450" s="375">
        <v>29.5</v>
      </c>
      <c r="G3450" s="252" t="s">
        <v>2251</v>
      </c>
      <c r="H3450" s="296" t="s">
        <v>3101</v>
      </c>
      <c r="J3450" s="253"/>
      <c r="O3450" s="296" t="s">
        <v>3283</v>
      </c>
      <c r="Q3450" s="253"/>
      <c r="R3450" s="252">
        <f>SUM(R3435:R3449)</f>
        <v>11327.31</v>
      </c>
      <c r="W3450" s="253"/>
    </row>
    <row r="3451" spans="6:23" ht="20.25" customHeight="1">
      <c r="H3451" s="296" t="s">
        <v>3102</v>
      </c>
      <c r="J3451" s="253"/>
      <c r="Q3451" s="253"/>
      <c r="R3451" s="358" t="s">
        <v>1586</v>
      </c>
      <c r="W3451" s="253"/>
    </row>
    <row r="3452" spans="6:23" ht="20.25" customHeight="1">
      <c r="H3452" s="296" t="s">
        <v>1936</v>
      </c>
      <c r="J3452" s="253"/>
      <c r="O3452" s="276" t="s">
        <v>552</v>
      </c>
      <c r="Q3452" s="360" t="s">
        <v>721</v>
      </c>
      <c r="R3452" s="274">
        <f>R3450/M3441</f>
        <v>4665.28</v>
      </c>
      <c r="W3452" s="253"/>
    </row>
    <row r="3453" spans="6:23" ht="20.25" customHeight="1">
      <c r="H3453" s="358" t="s">
        <v>1586</v>
      </c>
      <c r="I3453" s="358" t="s">
        <v>1586</v>
      </c>
      <c r="J3453" s="253"/>
      <c r="W3453" s="253"/>
    </row>
    <row r="3454" spans="6:23" ht="20.25" customHeight="1">
      <c r="F3454" s="252">
        <v>10</v>
      </c>
      <c r="G3454" s="252" t="s">
        <v>609</v>
      </c>
      <c r="H3454" s="276" t="s">
        <v>3431</v>
      </c>
      <c r="I3454" s="591">
        <v>416</v>
      </c>
      <c r="J3454" s="253" t="s">
        <v>609</v>
      </c>
      <c r="K3454" s="252">
        <f>F3454*I3454</f>
        <v>4160</v>
      </c>
      <c r="W3454" s="253"/>
    </row>
    <row r="3455" spans="6:23" ht="20.25" customHeight="1">
      <c r="F3455" s="252">
        <v>0.21</v>
      </c>
      <c r="G3455" s="252" t="s">
        <v>869</v>
      </c>
      <c r="H3455" s="296" t="s">
        <v>1876</v>
      </c>
      <c r="I3455" s="252">
        <f>K32</f>
        <v>4756.78</v>
      </c>
      <c r="J3455" s="253" t="s">
        <v>869</v>
      </c>
      <c r="K3455" s="252">
        <f>(F3455*I3455)</f>
        <v>998.92</v>
      </c>
      <c r="W3455" s="253"/>
    </row>
    <row r="3456" spans="6:23" ht="20.25" customHeight="1">
      <c r="H3456" s="296" t="s">
        <v>1877</v>
      </c>
      <c r="J3456" s="253"/>
      <c r="K3456" s="296" t="s">
        <v>975</v>
      </c>
      <c r="M3456" s="375">
        <v>29.5</v>
      </c>
      <c r="N3456" s="252" t="s">
        <v>2251</v>
      </c>
      <c r="O3456" s="296" t="s">
        <v>3101</v>
      </c>
      <c r="Q3456" s="253"/>
      <c r="W3456" s="253"/>
    </row>
    <row r="3457" spans="6:23" ht="20.25"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0.25" customHeight="1">
      <c r="F3458" s="252">
        <v>1.1000000000000001</v>
      </c>
      <c r="G3458" s="252" t="s">
        <v>769</v>
      </c>
      <c r="H3458" s="296" t="s">
        <v>1712</v>
      </c>
      <c r="I3458" s="252">
        <f>C11</f>
        <v>932</v>
      </c>
      <c r="J3458" s="253" t="s">
        <v>769</v>
      </c>
      <c r="K3458" s="252">
        <f>(F3458*I3458)</f>
        <v>1025.2</v>
      </c>
      <c r="O3458" s="296" t="s">
        <v>1936</v>
      </c>
      <c r="Q3458" s="253"/>
      <c r="W3458" s="253"/>
    </row>
    <row r="3459" spans="6:23" ht="20.25"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0.25" customHeight="1">
      <c r="F3460" s="252">
        <v>2.2000000000000002</v>
      </c>
      <c r="G3460" s="252" t="s">
        <v>769</v>
      </c>
      <c r="H3460" s="296" t="s">
        <v>320</v>
      </c>
      <c r="I3460" s="252">
        <f>C13</f>
        <v>534</v>
      </c>
      <c r="J3460" s="253" t="s">
        <v>769</v>
      </c>
      <c r="K3460" s="252">
        <f>(F3460*I3460)</f>
        <v>1174.8</v>
      </c>
      <c r="M3460" s="252">
        <v>10</v>
      </c>
      <c r="N3460" s="252" t="s">
        <v>609</v>
      </c>
      <c r="O3460" s="276" t="s">
        <v>3431</v>
      </c>
      <c r="P3460" s="592">
        <f>I3454</f>
        <v>416</v>
      </c>
      <c r="Q3460" s="253" t="s">
        <v>609</v>
      </c>
      <c r="R3460" s="252">
        <f>P3460*M3460</f>
        <v>4160</v>
      </c>
      <c r="W3460" s="253"/>
    </row>
    <row r="3461" spans="6:23" ht="20.25" customHeight="1">
      <c r="F3461" s="356">
        <v>20</v>
      </c>
      <c r="G3461" s="252" t="s">
        <v>1645</v>
      </c>
      <c r="H3461" s="296" t="s">
        <v>862</v>
      </c>
      <c r="I3461" s="252">
        <f>AC31</f>
        <v>6040</v>
      </c>
      <c r="J3461" s="253" t="s">
        <v>861</v>
      </c>
      <c r="K3461" s="252">
        <f>(F3461*I3461)/1000</f>
        <v>120.8</v>
      </c>
      <c r="M3461" s="252">
        <v>0.21</v>
      </c>
      <c r="N3461" s="252" t="s">
        <v>869</v>
      </c>
      <c r="O3461" s="296" t="s">
        <v>1876</v>
      </c>
      <c r="P3461" s="593">
        <f t="shared" ref="P3461:P3471" si="326">I3455</f>
        <v>4756.78</v>
      </c>
      <c r="Q3461" s="253" t="s">
        <v>869</v>
      </c>
      <c r="R3461" s="252">
        <f t="shared" ref="R3461:R3471" si="327">P3461*M3461</f>
        <v>998.92</v>
      </c>
      <c r="W3461" s="253"/>
    </row>
    <row r="3462" spans="6:23" ht="20.25" customHeight="1">
      <c r="F3462" s="356">
        <v>2</v>
      </c>
      <c r="G3462" s="252" t="s">
        <v>1645</v>
      </c>
      <c r="H3462" s="296" t="s">
        <v>2081</v>
      </c>
      <c r="I3462" s="252">
        <f>I1256</f>
        <v>36.1</v>
      </c>
      <c r="J3462" s="253" t="s">
        <v>1645</v>
      </c>
      <c r="K3462" s="252">
        <f>(F3462*I3462)</f>
        <v>72.2</v>
      </c>
      <c r="O3462" s="296" t="s">
        <v>1877</v>
      </c>
      <c r="P3462" s="593">
        <f t="shared" si="326"/>
        <v>0</v>
      </c>
      <c r="Q3462" s="253"/>
      <c r="R3462" s="252">
        <f t="shared" si="327"/>
        <v>0</v>
      </c>
      <c r="W3462" s="253"/>
    </row>
    <row r="3463" spans="6:23" ht="20.25" customHeight="1">
      <c r="F3463" s="252">
        <v>1.6</v>
      </c>
      <c r="G3463" s="252" t="s">
        <v>769</v>
      </c>
      <c r="H3463" s="296" t="s">
        <v>1712</v>
      </c>
      <c r="I3463" s="252">
        <f>I3458</f>
        <v>932</v>
      </c>
      <c r="J3463" s="253" t="s">
        <v>769</v>
      </c>
      <c r="K3463" s="252">
        <f>(F3463*I3463)</f>
        <v>1491.2</v>
      </c>
      <c r="M3463" s="252">
        <v>1.1000000000000001</v>
      </c>
      <c r="N3463" s="252" t="s">
        <v>769</v>
      </c>
      <c r="O3463" s="296" t="s">
        <v>2009</v>
      </c>
      <c r="P3463" s="593">
        <f t="shared" si="326"/>
        <v>999</v>
      </c>
      <c r="Q3463" s="253" t="s">
        <v>769</v>
      </c>
      <c r="R3463" s="252">
        <f t="shared" si="327"/>
        <v>1098.9000000000001</v>
      </c>
      <c r="W3463" s="253"/>
    </row>
    <row r="3464" spans="6:23" ht="20.25" customHeight="1">
      <c r="F3464" s="252">
        <v>0.5</v>
      </c>
      <c r="G3464" s="252" t="s">
        <v>769</v>
      </c>
      <c r="H3464" s="296" t="s">
        <v>1902</v>
      </c>
      <c r="I3464" s="252">
        <f>I3459</f>
        <v>651</v>
      </c>
      <c r="J3464" s="253" t="s">
        <v>769</v>
      </c>
      <c r="K3464" s="252">
        <f>(F3464*I3464)</f>
        <v>325.5</v>
      </c>
      <c r="M3464" s="252">
        <v>1.1000000000000001</v>
      </c>
      <c r="N3464" s="252" t="s">
        <v>769</v>
      </c>
      <c r="O3464" s="296" t="s">
        <v>1712</v>
      </c>
      <c r="P3464" s="593">
        <f t="shared" si="326"/>
        <v>932</v>
      </c>
      <c r="Q3464" s="253" t="s">
        <v>769</v>
      </c>
      <c r="R3464" s="252">
        <f t="shared" si="327"/>
        <v>1025.2</v>
      </c>
      <c r="W3464" s="253"/>
    </row>
    <row r="3465" spans="6:23" ht="20.25"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593">
        <f t="shared" si="326"/>
        <v>651</v>
      </c>
      <c r="Q3465" s="253" t="s">
        <v>769</v>
      </c>
      <c r="R3465" s="252">
        <f t="shared" si="327"/>
        <v>1432.2</v>
      </c>
      <c r="W3465" s="253"/>
    </row>
    <row r="3466" spans="6:23" ht="20.25" customHeight="1">
      <c r="G3466" s="252" t="s">
        <v>449</v>
      </c>
      <c r="H3466" s="296" t="s">
        <v>450</v>
      </c>
      <c r="I3466" s="252">
        <f>I1262</f>
        <v>0</v>
      </c>
      <c r="J3466" s="253" t="s">
        <v>449</v>
      </c>
      <c r="K3466" s="252">
        <v>0</v>
      </c>
      <c r="M3466" s="252">
        <v>2.2000000000000002</v>
      </c>
      <c r="N3466" s="252" t="s">
        <v>769</v>
      </c>
      <c r="O3466" s="296" t="s">
        <v>320</v>
      </c>
      <c r="P3466" s="593">
        <f t="shared" si="326"/>
        <v>534</v>
      </c>
      <c r="Q3466" s="253" t="s">
        <v>769</v>
      </c>
      <c r="R3466" s="252">
        <f t="shared" si="327"/>
        <v>1174.8</v>
      </c>
      <c r="W3466" s="253"/>
    </row>
    <row r="3467" spans="6:23" ht="20.25" customHeight="1">
      <c r="J3467" s="253"/>
      <c r="K3467" s="358" t="s">
        <v>1586</v>
      </c>
      <c r="M3467" s="356">
        <v>20</v>
      </c>
      <c r="N3467" s="252" t="s">
        <v>1645</v>
      </c>
      <c r="O3467" s="296" t="s">
        <v>862</v>
      </c>
      <c r="P3467" s="593">
        <f t="shared" si="326"/>
        <v>6040</v>
      </c>
      <c r="Q3467" s="253" t="s">
        <v>861</v>
      </c>
      <c r="R3467" s="252">
        <f>P3467*M3467/1000</f>
        <v>120.8</v>
      </c>
      <c r="W3467" s="253"/>
    </row>
    <row r="3468" spans="6:23" ht="20.25" customHeight="1">
      <c r="H3468" s="296" t="s">
        <v>441</v>
      </c>
      <c r="J3468" s="253"/>
      <c r="K3468" s="252">
        <f>SUM(K3454:K3466)</f>
        <v>12487.12</v>
      </c>
      <c r="M3468" s="356">
        <v>2</v>
      </c>
      <c r="N3468" s="252" t="s">
        <v>1645</v>
      </c>
      <c r="O3468" s="296" t="s">
        <v>2897</v>
      </c>
      <c r="P3468" s="593">
        <f>I3644</f>
        <v>24.93</v>
      </c>
      <c r="Q3468" s="253" t="s">
        <v>1645</v>
      </c>
      <c r="R3468" s="252">
        <f t="shared" si="327"/>
        <v>49.86</v>
      </c>
      <c r="W3468" s="253"/>
    </row>
    <row r="3469" spans="6:23" ht="20.25" customHeight="1">
      <c r="J3469" s="253"/>
      <c r="K3469" s="358" t="s">
        <v>1586</v>
      </c>
      <c r="M3469" s="252">
        <v>1.6</v>
      </c>
      <c r="N3469" s="252" t="s">
        <v>769</v>
      </c>
      <c r="O3469" s="296" t="s">
        <v>1712</v>
      </c>
      <c r="P3469" s="593">
        <f t="shared" si="326"/>
        <v>932</v>
      </c>
      <c r="Q3469" s="253" t="s">
        <v>769</v>
      </c>
      <c r="R3469" s="252">
        <f t="shared" si="327"/>
        <v>1491.2</v>
      </c>
      <c r="W3469" s="253"/>
    </row>
    <row r="3470" spans="6:23" ht="20.25" customHeight="1">
      <c r="H3470" s="296" t="s">
        <v>552</v>
      </c>
      <c r="J3470" s="253"/>
      <c r="K3470" s="274">
        <f>(K3468/10)</f>
        <v>1248.71</v>
      </c>
      <c r="M3470" s="252">
        <v>0.5</v>
      </c>
      <c r="N3470" s="252" t="s">
        <v>769</v>
      </c>
      <c r="O3470" s="296" t="s">
        <v>1902</v>
      </c>
      <c r="P3470" s="593">
        <f t="shared" si="326"/>
        <v>651</v>
      </c>
      <c r="Q3470" s="253" t="s">
        <v>769</v>
      </c>
      <c r="R3470" s="252">
        <f t="shared" si="327"/>
        <v>325.5</v>
      </c>
      <c r="W3470" s="253"/>
    </row>
    <row r="3471" spans="6:23" ht="20.25" customHeight="1">
      <c r="J3471" s="253"/>
      <c r="K3471" s="358" t="s">
        <v>2055</v>
      </c>
      <c r="M3471" s="252">
        <v>1.1000000000000001</v>
      </c>
      <c r="N3471" s="252" t="s">
        <v>769</v>
      </c>
      <c r="O3471" s="296" t="s">
        <v>320</v>
      </c>
      <c r="P3471" s="593">
        <f t="shared" si="326"/>
        <v>534</v>
      </c>
      <c r="Q3471" s="253" t="s">
        <v>769</v>
      </c>
      <c r="R3471" s="252">
        <f t="shared" si="327"/>
        <v>587.4</v>
      </c>
      <c r="W3471" s="253"/>
    </row>
    <row r="3472" spans="6:23" ht="20.25" customHeight="1">
      <c r="N3472" s="252" t="s">
        <v>449</v>
      </c>
      <c r="O3472" s="296" t="s">
        <v>450</v>
      </c>
      <c r="P3472" s="252">
        <v>0</v>
      </c>
      <c r="Q3472" s="253" t="s">
        <v>449</v>
      </c>
      <c r="R3472" s="252">
        <v>0</v>
      </c>
      <c r="W3472" s="253"/>
    </row>
    <row r="3473" spans="6:23" ht="20.25" customHeight="1">
      <c r="Q3473" s="253"/>
      <c r="R3473" s="358" t="s">
        <v>1586</v>
      </c>
      <c r="W3473" s="253"/>
    </row>
    <row r="3474" spans="6:23" ht="20.25" customHeight="1">
      <c r="O3474" s="296" t="s">
        <v>441</v>
      </c>
      <c r="Q3474" s="253"/>
      <c r="R3474" s="252">
        <f>SUM(R3460:R3473)</f>
        <v>12464.78</v>
      </c>
      <c r="W3474" s="253"/>
    </row>
    <row r="3475" spans="6:23" ht="20.25" customHeight="1">
      <c r="Q3475" s="253"/>
      <c r="R3475" s="358" t="s">
        <v>1586</v>
      </c>
      <c r="W3475" s="253"/>
    </row>
    <row r="3476" spans="6:23" ht="20.25" customHeight="1">
      <c r="G3476" s="594">
        <v>90</v>
      </c>
      <c r="H3476" s="595" t="s">
        <v>6143</v>
      </c>
      <c r="O3476" s="296" t="s">
        <v>552</v>
      </c>
      <c r="Q3476" s="253"/>
      <c r="R3476" s="274">
        <f>R3474/10</f>
        <v>1246.48</v>
      </c>
      <c r="W3476" s="253"/>
    </row>
    <row r="3477" spans="6:23" ht="20.2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0.25" customHeight="1">
      <c r="F3478" s="356">
        <v>2.4E-2</v>
      </c>
      <c r="G3478" s="252" t="s">
        <v>869</v>
      </c>
      <c r="H3478" s="252" t="s">
        <v>2452</v>
      </c>
      <c r="I3478" s="252">
        <f>I3388</f>
        <v>99400</v>
      </c>
      <c r="J3478" s="252">
        <f>J2280</f>
        <v>0</v>
      </c>
      <c r="K3478" s="252">
        <f t="shared" ref="K3478:K3491" si="328">F3478*I3478</f>
        <v>2385.6</v>
      </c>
      <c r="W3478" s="253"/>
    </row>
    <row r="3479" spans="6:23" ht="20.25" customHeight="1">
      <c r="F3479" s="252">
        <v>0.01</v>
      </c>
      <c r="G3479" s="252" t="s">
        <v>869</v>
      </c>
      <c r="H3479" s="296" t="s">
        <v>310</v>
      </c>
      <c r="I3479" s="252">
        <f>I2815</f>
        <v>95000</v>
      </c>
      <c r="J3479" s="252">
        <f>J2281</f>
        <v>0</v>
      </c>
      <c r="K3479" s="252">
        <f t="shared" si="328"/>
        <v>950</v>
      </c>
      <c r="W3479" s="253"/>
    </row>
    <row r="3480" spans="6:23" ht="20.25" customHeight="1">
      <c r="H3480" s="296" t="s">
        <v>446</v>
      </c>
      <c r="W3480" s="253"/>
    </row>
    <row r="3481" spans="6:23" ht="20.25" customHeight="1">
      <c r="F3481" s="252">
        <v>1.05</v>
      </c>
      <c r="G3481" s="252" t="s">
        <v>609</v>
      </c>
      <c r="H3481" s="422" t="s">
        <v>5892</v>
      </c>
      <c r="I3481" s="362">
        <v>362.5</v>
      </c>
      <c r="J3481" s="296" t="s">
        <v>609</v>
      </c>
      <c r="K3481" s="252">
        <f t="shared" si="328"/>
        <v>380.63</v>
      </c>
      <c r="W3481" s="253"/>
    </row>
    <row r="3482" spans="6:23" ht="20.25" customHeight="1">
      <c r="F3482" s="252">
        <v>12</v>
      </c>
      <c r="G3482" s="252" t="s">
        <v>359</v>
      </c>
      <c r="H3482" s="252" t="s">
        <v>2453</v>
      </c>
      <c r="I3482" s="252">
        <f>I2537</f>
        <v>70.150000000000006</v>
      </c>
      <c r="J3482" s="296" t="s">
        <v>359</v>
      </c>
      <c r="K3482" s="252">
        <f t="shared" si="328"/>
        <v>841.8</v>
      </c>
      <c r="S3482" s="583" t="s">
        <v>3495</v>
      </c>
      <c r="W3482" s="253"/>
    </row>
    <row r="3483" spans="6:23" ht="20.25" customHeight="1">
      <c r="F3483" s="252">
        <v>2.85</v>
      </c>
      <c r="G3483" s="252" t="s">
        <v>609</v>
      </c>
      <c r="H3483" s="252" t="s">
        <v>2454</v>
      </c>
      <c r="I3483" s="252">
        <f>D31</f>
        <v>1436</v>
      </c>
      <c r="J3483" s="296" t="s">
        <v>609</v>
      </c>
      <c r="K3483" s="252">
        <f t="shared" si="328"/>
        <v>4092.6</v>
      </c>
      <c r="W3483" s="253"/>
    </row>
    <row r="3484" spans="6:23" ht="20.25" customHeight="1">
      <c r="F3484" s="252">
        <v>6</v>
      </c>
      <c r="G3484" s="252" t="s">
        <v>1394</v>
      </c>
      <c r="H3484" s="296" t="s">
        <v>1464</v>
      </c>
      <c r="I3484" s="252">
        <f>I2819</f>
        <v>214.1</v>
      </c>
      <c r="J3484" s="296" t="s">
        <v>769</v>
      </c>
      <c r="K3484" s="252">
        <f t="shared" si="328"/>
        <v>1284.5999999999999</v>
      </c>
      <c r="W3484" s="253"/>
    </row>
    <row r="3485" spans="6:23" ht="20.25" customHeight="1">
      <c r="F3485" s="252">
        <v>1</v>
      </c>
      <c r="G3485" s="252" t="s">
        <v>1394</v>
      </c>
      <c r="H3485" s="252" t="s">
        <v>2455</v>
      </c>
      <c r="I3485" s="252">
        <f>I2821</f>
        <v>836</v>
      </c>
      <c r="J3485" s="296" t="s">
        <v>769</v>
      </c>
      <c r="K3485" s="252">
        <f t="shared" si="328"/>
        <v>836</v>
      </c>
      <c r="W3485" s="253"/>
    </row>
    <row r="3486" spans="6:23" ht="20.25" customHeight="1">
      <c r="F3486" s="252">
        <v>3</v>
      </c>
      <c r="G3486" s="252" t="s">
        <v>1394</v>
      </c>
      <c r="H3486" s="296" t="s">
        <v>1465</v>
      </c>
      <c r="I3486" s="252">
        <f>I2820</f>
        <v>408</v>
      </c>
      <c r="J3486" s="296" t="s">
        <v>769</v>
      </c>
      <c r="K3486" s="252">
        <f t="shared" si="328"/>
        <v>1224</v>
      </c>
      <c r="W3486" s="253"/>
    </row>
    <row r="3487" spans="6:23" ht="20.25" customHeight="1">
      <c r="F3487" s="252">
        <v>2</v>
      </c>
      <c r="G3487" s="252" t="s">
        <v>1394</v>
      </c>
      <c r="H3487" s="296" t="s">
        <v>2459</v>
      </c>
      <c r="I3487" s="252">
        <f>I2820</f>
        <v>408</v>
      </c>
      <c r="J3487" s="296" t="s">
        <v>769</v>
      </c>
      <c r="K3487" s="252">
        <f t="shared" si="328"/>
        <v>816</v>
      </c>
      <c r="W3487" s="253"/>
    </row>
    <row r="3488" spans="6:23" ht="20.25" customHeight="1">
      <c r="F3488" s="252">
        <v>2</v>
      </c>
      <c r="G3488" s="252" t="s">
        <v>1394</v>
      </c>
      <c r="H3488" s="296" t="s">
        <v>1982</v>
      </c>
      <c r="I3488" s="252">
        <f>I2823</f>
        <v>49.55</v>
      </c>
      <c r="J3488" s="296" t="s">
        <v>769</v>
      </c>
      <c r="K3488" s="252">
        <f t="shared" si="328"/>
        <v>99.1</v>
      </c>
      <c r="W3488" s="253"/>
    </row>
    <row r="3489" spans="6:23" ht="20.25" customHeight="1">
      <c r="F3489" s="252">
        <v>2</v>
      </c>
      <c r="G3489" s="252" t="s">
        <v>1394</v>
      </c>
      <c r="H3489" s="296" t="s">
        <v>1467</v>
      </c>
      <c r="I3489" s="252">
        <f>I2822</f>
        <v>7.3</v>
      </c>
      <c r="J3489" s="296" t="s">
        <v>769</v>
      </c>
      <c r="K3489" s="252">
        <f t="shared" si="328"/>
        <v>14.6</v>
      </c>
      <c r="W3489" s="253"/>
    </row>
    <row r="3490" spans="6:23" ht="20.25" customHeight="1">
      <c r="F3490" s="252">
        <v>1.05</v>
      </c>
      <c r="G3490" s="252" t="s">
        <v>609</v>
      </c>
      <c r="H3490" s="296" t="s">
        <v>2456</v>
      </c>
      <c r="I3490" s="252">
        <f>K1553</f>
        <v>138.35</v>
      </c>
      <c r="J3490" s="296" t="s">
        <v>609</v>
      </c>
      <c r="K3490" s="252">
        <f t="shared" si="328"/>
        <v>145.27000000000001</v>
      </c>
      <c r="W3490" s="253"/>
    </row>
    <row r="3491" spans="6:23" ht="20.25" customHeight="1">
      <c r="F3491" s="596">
        <v>3.15</v>
      </c>
      <c r="G3491" s="252" t="s">
        <v>609</v>
      </c>
      <c r="H3491" s="296" t="s">
        <v>2457</v>
      </c>
      <c r="I3491" s="252">
        <f>K1167</f>
        <v>194.22</v>
      </c>
      <c r="J3491" s="296" t="s">
        <v>609</v>
      </c>
      <c r="K3491" s="252">
        <f t="shared" si="328"/>
        <v>611.79</v>
      </c>
      <c r="W3491" s="253"/>
    </row>
    <row r="3492" spans="6:23" ht="20.25" customHeight="1">
      <c r="H3492" s="296" t="s">
        <v>3538</v>
      </c>
      <c r="I3492" s="1165" t="s">
        <v>449</v>
      </c>
      <c r="J3492" s="1165"/>
      <c r="K3492" s="252">
        <f>R3199</f>
        <v>284.38</v>
      </c>
      <c r="W3492" s="253"/>
    </row>
    <row r="3493" spans="6:23" ht="20.25" customHeight="1">
      <c r="K3493" s="358" t="s">
        <v>2055</v>
      </c>
      <c r="W3493" s="253"/>
    </row>
    <row r="3494" spans="6:23" ht="20.25" customHeight="1">
      <c r="H3494" s="276" t="s">
        <v>2458</v>
      </c>
      <c r="I3494" s="274"/>
      <c r="J3494" s="276"/>
      <c r="K3494" s="274">
        <f>SUM(K3477:K3493)</f>
        <v>18218.330000000002</v>
      </c>
      <c r="W3494" s="253"/>
    </row>
    <row r="3495" spans="6:23" ht="20.25" customHeight="1">
      <c r="K3495" s="358" t="s">
        <v>2055</v>
      </c>
      <c r="W3495" s="253"/>
    </row>
    <row r="3496" spans="6:23" ht="20.25" customHeight="1">
      <c r="W3496" s="253"/>
    </row>
    <row r="3497" spans="6:23" ht="20.25" customHeight="1">
      <c r="J3497" s="253"/>
      <c r="W3497" s="253"/>
    </row>
    <row r="3498" spans="6:23" ht="20.25" customHeight="1">
      <c r="G3498" s="296" t="s">
        <v>6144</v>
      </c>
      <c r="J3498" s="253"/>
      <c r="W3498" s="253"/>
    </row>
    <row r="3499" spans="6:23" ht="20.25" customHeight="1">
      <c r="J3499" s="253"/>
      <c r="W3499" s="253"/>
    </row>
    <row r="3500" spans="6:23" ht="20.25" customHeight="1">
      <c r="F3500" s="316">
        <v>1.8</v>
      </c>
      <c r="G3500" s="252" t="s">
        <v>869</v>
      </c>
      <c r="H3500" s="252" t="s">
        <v>3497</v>
      </c>
      <c r="I3500" s="362">
        <f>((505+583)/2)+Z15</f>
        <v>862.94</v>
      </c>
      <c r="J3500" s="253" t="s">
        <v>869</v>
      </c>
      <c r="K3500" s="407">
        <f>I3500*F3500</f>
        <v>1553.29</v>
      </c>
      <c r="W3500" s="253"/>
    </row>
    <row r="3501" spans="6:23" ht="20.25" customHeight="1">
      <c r="I3501" s="362"/>
      <c r="J3501" s="253"/>
      <c r="K3501" s="407"/>
      <c r="W3501" s="253"/>
    </row>
    <row r="3502" spans="6:23" ht="20.25" customHeight="1">
      <c r="F3502" s="316">
        <v>1.2</v>
      </c>
      <c r="G3502" s="252" t="s">
        <v>869</v>
      </c>
      <c r="H3502" s="252" t="s">
        <v>3498</v>
      </c>
      <c r="I3502" s="362">
        <f>((1054+906+1467+1362+1001)/5)+Z15</f>
        <v>1476.94</v>
      </c>
      <c r="J3502" s="253" t="s">
        <v>869</v>
      </c>
      <c r="K3502" s="407">
        <f t="shared" ref="K3502:K3510" si="329">I3502*F3502</f>
        <v>1772.33</v>
      </c>
      <c r="W3502" s="253"/>
    </row>
    <row r="3503" spans="6:23" ht="20.25" customHeight="1">
      <c r="J3503" s="253"/>
      <c r="K3503" s="407"/>
      <c r="W3503" s="253"/>
    </row>
    <row r="3504" spans="6:23" ht="20.25" customHeight="1">
      <c r="F3504" s="316">
        <v>0.6</v>
      </c>
      <c r="G3504" s="252" t="s">
        <v>869</v>
      </c>
      <c r="H3504" s="252" t="s">
        <v>3499</v>
      </c>
      <c r="I3504" s="252">
        <f>AC16</f>
        <v>1741.58</v>
      </c>
      <c r="J3504" s="253" t="s">
        <v>869</v>
      </c>
      <c r="K3504" s="407">
        <f t="shared" si="329"/>
        <v>1044.95</v>
      </c>
      <c r="O3504" s="274" t="s">
        <v>3486</v>
      </c>
      <c r="W3504" s="253"/>
    </row>
    <row r="3505" spans="6:24" ht="20.25" customHeight="1">
      <c r="J3505" s="253"/>
      <c r="K3505" s="407"/>
      <c r="W3505" s="253"/>
    </row>
    <row r="3506" spans="6:24" ht="20.25" customHeight="1">
      <c r="F3506" s="316">
        <v>3</v>
      </c>
      <c r="G3506" s="252" t="s">
        <v>869</v>
      </c>
      <c r="H3506" s="252" t="s">
        <v>3490</v>
      </c>
      <c r="I3506" s="252">
        <f>R3519</f>
        <v>2072.9699999999998</v>
      </c>
      <c r="J3506" s="253" t="s">
        <v>869</v>
      </c>
      <c r="K3506" s="407">
        <f t="shared" si="329"/>
        <v>6218.91</v>
      </c>
      <c r="W3506" s="253"/>
    </row>
    <row r="3507" spans="6:24" ht="20.25"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0.25" customHeight="1">
      <c r="F3508" s="316">
        <v>3</v>
      </c>
      <c r="G3508" s="252" t="s">
        <v>869</v>
      </c>
      <c r="H3508" s="252" t="s">
        <v>3496</v>
      </c>
      <c r="I3508" s="252">
        <f>R3521</f>
        <v>36.950000000000003</v>
      </c>
      <c r="J3508" s="253" t="s">
        <v>869</v>
      </c>
      <c r="K3508" s="407">
        <f t="shared" si="329"/>
        <v>110.85</v>
      </c>
      <c r="L3508" s="597"/>
      <c r="W3508" s="253"/>
    </row>
    <row r="3509" spans="6:24" ht="20.25" customHeight="1">
      <c r="F3509" s="316"/>
      <c r="J3509" s="253"/>
      <c r="K3509" s="407"/>
      <c r="O3509" s="407" t="s">
        <v>3487</v>
      </c>
      <c r="R3509" s="252">
        <f>R3507</f>
        <v>91.14</v>
      </c>
      <c r="W3509" s="253"/>
    </row>
    <row r="3510" spans="6:24" ht="20.25"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0.25" customHeight="1">
      <c r="J3511" s="253"/>
      <c r="K3511" s="407"/>
      <c r="W3511" s="253"/>
    </row>
    <row r="3512" spans="6:24" ht="20.25" customHeight="1">
      <c r="H3512" s="252" t="s">
        <v>3494</v>
      </c>
      <c r="J3512" s="253" t="s">
        <v>449</v>
      </c>
      <c r="K3512" s="407">
        <v>1.84</v>
      </c>
      <c r="O3512" s="274" t="s">
        <v>3489</v>
      </c>
      <c r="W3512" s="253"/>
    </row>
    <row r="3513" spans="6:24" ht="20.25" customHeight="1">
      <c r="J3513" s="253"/>
      <c r="K3513" s="407"/>
      <c r="W3513" s="253"/>
    </row>
    <row r="3514" spans="6:24" ht="20.25" customHeight="1">
      <c r="H3514" s="407" t="s">
        <v>6145</v>
      </c>
      <c r="J3514" s="253"/>
      <c r="K3514" s="360">
        <f>SUM(K3500:K3513)</f>
        <v>10911.57</v>
      </c>
      <c r="M3514" s="252">
        <v>1.8</v>
      </c>
      <c r="N3514" s="252" t="s">
        <v>1432</v>
      </c>
      <c r="O3514" s="252" t="s">
        <v>3491</v>
      </c>
      <c r="P3514" s="252">
        <f>AE10</f>
        <v>932</v>
      </c>
      <c r="Q3514" s="252" t="s">
        <v>1398</v>
      </c>
      <c r="R3514" s="252">
        <f>P3514*M3514</f>
        <v>1677.6</v>
      </c>
      <c r="W3514" s="253"/>
    </row>
    <row r="3515" spans="6:24" ht="20.25" customHeight="1">
      <c r="H3515" s="407" t="s">
        <v>3500</v>
      </c>
      <c r="J3515" s="253"/>
      <c r="K3515" s="274">
        <f>K3514/F3506</f>
        <v>3637.19</v>
      </c>
      <c r="M3515" s="252">
        <v>17.7</v>
      </c>
      <c r="N3515" s="252" t="s">
        <v>1432</v>
      </c>
      <c r="O3515" s="252" t="s">
        <v>2774</v>
      </c>
      <c r="P3515" s="252">
        <f>AE11</f>
        <v>651</v>
      </c>
      <c r="Q3515" s="252" t="s">
        <v>1398</v>
      </c>
      <c r="R3515" s="252">
        <f>P3515*M3515</f>
        <v>11522.7</v>
      </c>
      <c r="W3515" s="253"/>
    </row>
    <row r="3516" spans="6:24" ht="20.25" customHeight="1">
      <c r="J3516" s="253"/>
      <c r="K3516" s="358" t="s">
        <v>2055</v>
      </c>
      <c r="M3516" s="252">
        <v>14.1</v>
      </c>
      <c r="N3516" s="252" t="s">
        <v>1432</v>
      </c>
      <c r="O3516" s="252" t="s">
        <v>2775</v>
      </c>
      <c r="P3516" s="252">
        <f>AE12</f>
        <v>534</v>
      </c>
      <c r="Q3516" s="252" t="s">
        <v>1398</v>
      </c>
      <c r="R3516" s="252">
        <f>P3516*M3516</f>
        <v>7529.4</v>
      </c>
      <c r="S3516" s="512"/>
      <c r="T3516" s="512"/>
      <c r="U3516" s="512" t="s">
        <v>3761</v>
      </c>
      <c r="V3516" s="512"/>
      <c r="W3516" s="520"/>
    </row>
    <row r="3517" spans="6:24" ht="20.25" customHeight="1">
      <c r="S3517" s="252"/>
      <c r="U3517" s="512" t="s">
        <v>5679</v>
      </c>
      <c r="V3517" s="252">
        <f>1.1*2.325</f>
        <v>2.56</v>
      </c>
      <c r="W3517" s="253"/>
    </row>
    <row r="3518" spans="6:24" ht="20.25" customHeight="1">
      <c r="O3518" s="407" t="s">
        <v>3493</v>
      </c>
      <c r="R3518" s="252">
        <f>SUM(R3514:R3517)</f>
        <v>20729.7</v>
      </c>
      <c r="S3518" s="512">
        <f>V3517</f>
        <v>2.56</v>
      </c>
      <c r="T3518" s="512" t="s">
        <v>609</v>
      </c>
      <c r="U3518" s="512" t="s">
        <v>3634</v>
      </c>
      <c r="V3518" s="512">
        <f>V3538</f>
        <v>2255</v>
      </c>
      <c r="W3518" s="520" t="s">
        <v>609</v>
      </c>
      <c r="X3518" s="512">
        <f>V3518*S3518</f>
        <v>5772.8</v>
      </c>
    </row>
    <row r="3519" spans="6:24" ht="20.25" customHeight="1">
      <c r="O3519" s="407" t="s">
        <v>3488</v>
      </c>
      <c r="R3519" s="252">
        <f>R3518/10</f>
        <v>2072.9699999999998</v>
      </c>
      <c r="S3519" s="512">
        <f>V3517</f>
        <v>2.56</v>
      </c>
      <c r="T3519" s="512" t="s">
        <v>609</v>
      </c>
      <c r="U3519" s="512" t="s">
        <v>3635</v>
      </c>
      <c r="V3519" s="512">
        <f t="shared" ref="V3519:V3527" si="330">V3539</f>
        <v>0</v>
      </c>
      <c r="W3519" s="520" t="s">
        <v>609</v>
      </c>
      <c r="X3519" s="512">
        <f t="shared" ref="X3519:X3526" si="331">V3519*S3519</f>
        <v>0</v>
      </c>
    </row>
    <row r="3520" spans="6:24" ht="20.25" customHeight="1">
      <c r="F3520" s="512"/>
      <c r="G3520" s="512"/>
      <c r="H3520" s="512" t="s">
        <v>3646</v>
      </c>
      <c r="I3520" s="512"/>
      <c r="J3520" s="513"/>
      <c r="O3520" s="407"/>
      <c r="S3520" s="512">
        <v>2</v>
      </c>
      <c r="T3520" s="512" t="s">
        <v>769</v>
      </c>
      <c r="U3520" s="512" t="s">
        <v>3636</v>
      </c>
      <c r="V3520" s="512">
        <f t="shared" si="330"/>
        <v>57.65</v>
      </c>
      <c r="W3520" s="520" t="s">
        <v>769</v>
      </c>
      <c r="X3520" s="512">
        <f t="shared" si="331"/>
        <v>115.3</v>
      </c>
    </row>
    <row r="3521" spans="6:32" ht="20.25" customHeight="1">
      <c r="H3521" s="471" t="s">
        <v>3647</v>
      </c>
      <c r="I3521" s="512">
        <f>1.1*2.325</f>
        <v>2.56</v>
      </c>
      <c r="O3521" s="274" t="s">
        <v>3880</v>
      </c>
      <c r="R3521" s="274">
        <f>AF67</f>
        <v>36.950000000000003</v>
      </c>
      <c r="S3521" s="512">
        <v>4</v>
      </c>
      <c r="T3521" s="512" t="s">
        <v>769</v>
      </c>
      <c r="U3521" s="512" t="s">
        <v>3637</v>
      </c>
      <c r="V3521" s="512">
        <f t="shared" si="330"/>
        <v>89.6</v>
      </c>
      <c r="W3521" s="520" t="s">
        <v>769</v>
      </c>
      <c r="X3521" s="512">
        <f t="shared" si="331"/>
        <v>358.4</v>
      </c>
    </row>
    <row r="3522" spans="6:32" ht="20.25" customHeight="1">
      <c r="F3522" s="512">
        <f>I3521</f>
        <v>2.56</v>
      </c>
      <c r="G3522" s="512" t="s">
        <v>609</v>
      </c>
      <c r="H3522" s="512" t="s">
        <v>5352</v>
      </c>
      <c r="I3522" s="598">
        <v>2255</v>
      </c>
      <c r="J3522" s="512" t="s">
        <v>609</v>
      </c>
      <c r="K3522" s="512">
        <f>I3522*F3522</f>
        <v>5772.8</v>
      </c>
      <c r="S3522" s="512">
        <v>2</v>
      </c>
      <c r="T3522" s="512" t="s">
        <v>769</v>
      </c>
      <c r="U3522" s="512" t="s">
        <v>3638</v>
      </c>
      <c r="V3522" s="512">
        <f t="shared" si="330"/>
        <v>64.8</v>
      </c>
      <c r="W3522" s="520" t="s">
        <v>769</v>
      </c>
      <c r="X3522" s="512">
        <f t="shared" si="331"/>
        <v>129.6</v>
      </c>
    </row>
    <row r="3523" spans="6:32" ht="20.25" customHeight="1">
      <c r="F3523" s="512">
        <f>F3522</f>
        <v>2.56</v>
      </c>
      <c r="G3523" s="512" t="s">
        <v>609</v>
      </c>
      <c r="H3523" s="512" t="s">
        <v>4599</v>
      </c>
      <c r="I3523" s="512">
        <f>AE53</f>
        <v>0</v>
      </c>
      <c r="J3523" s="512" t="s">
        <v>609</v>
      </c>
      <c r="K3523" s="512">
        <f t="shared" ref="K3523:K3530" si="332">I3523*F3523</f>
        <v>0</v>
      </c>
      <c r="S3523" s="512">
        <v>1</v>
      </c>
      <c r="T3523" s="512" t="s">
        <v>769</v>
      </c>
      <c r="U3523" s="512" t="s">
        <v>2455</v>
      </c>
      <c r="V3523" s="512">
        <f t="shared" si="330"/>
        <v>181</v>
      </c>
      <c r="W3523" s="520" t="s">
        <v>769</v>
      </c>
      <c r="X3523" s="512">
        <f t="shared" si="331"/>
        <v>181</v>
      </c>
    </row>
    <row r="3524" spans="6:32" ht="20.25" customHeight="1">
      <c r="F3524" s="512">
        <v>4</v>
      </c>
      <c r="G3524" s="512" t="s">
        <v>769</v>
      </c>
      <c r="H3524" s="512" t="s">
        <v>3871</v>
      </c>
      <c r="I3524" s="512">
        <f>P3228</f>
        <v>57.65</v>
      </c>
      <c r="J3524" s="512" t="s">
        <v>769</v>
      </c>
      <c r="K3524" s="512">
        <f t="shared" si="332"/>
        <v>230.6</v>
      </c>
      <c r="M3524" s="512"/>
      <c r="N3524" s="512"/>
      <c r="O3524" s="461" t="s">
        <v>3751</v>
      </c>
      <c r="P3524" s="512"/>
      <c r="Q3524" s="513"/>
      <c r="S3524" s="512">
        <v>92</v>
      </c>
      <c r="T3524" s="512" t="s">
        <v>769</v>
      </c>
      <c r="U3524" s="512" t="s">
        <v>3639</v>
      </c>
      <c r="V3524" s="512">
        <f t="shared" si="330"/>
        <v>2.41</v>
      </c>
      <c r="W3524" s="520" t="s">
        <v>769</v>
      </c>
      <c r="X3524" s="512">
        <f t="shared" si="331"/>
        <v>221.72</v>
      </c>
    </row>
    <row r="3525" spans="6:32" ht="20.25" customHeight="1">
      <c r="F3525" s="512">
        <v>8</v>
      </c>
      <c r="G3525" s="512" t="s">
        <v>769</v>
      </c>
      <c r="H3525" s="512" t="s">
        <v>3872</v>
      </c>
      <c r="I3525" s="512">
        <f>P3229</f>
        <v>89.6</v>
      </c>
      <c r="J3525" s="512" t="s">
        <v>769</v>
      </c>
      <c r="K3525" s="512">
        <f t="shared" si="332"/>
        <v>716.8</v>
      </c>
      <c r="O3525" s="540" t="s">
        <v>3752</v>
      </c>
      <c r="P3525" s="540">
        <f>1.4*2.325</f>
        <v>3.26</v>
      </c>
      <c r="Q3525" s="296"/>
      <c r="S3525" s="512">
        <v>1</v>
      </c>
      <c r="T3525" s="512" t="s">
        <v>769</v>
      </c>
      <c r="U3525" s="512" t="s">
        <v>3640</v>
      </c>
      <c r="V3525" s="512">
        <f t="shared" si="330"/>
        <v>23.1</v>
      </c>
      <c r="W3525" s="520" t="s">
        <v>769</v>
      </c>
      <c r="X3525" s="512">
        <f t="shared" si="331"/>
        <v>23.1</v>
      </c>
    </row>
    <row r="3526" spans="6:32" ht="20.25" customHeight="1">
      <c r="F3526" s="512">
        <v>4</v>
      </c>
      <c r="G3526" s="512" t="s">
        <v>769</v>
      </c>
      <c r="H3526" s="512" t="s">
        <v>3873</v>
      </c>
      <c r="I3526" s="512">
        <f>C284</f>
        <v>64.8</v>
      </c>
      <c r="J3526" s="512" t="s">
        <v>769</v>
      </c>
      <c r="K3526" s="512">
        <f t="shared" si="332"/>
        <v>259.2</v>
      </c>
      <c r="M3526" s="512">
        <f>P3525</f>
        <v>3.26</v>
      </c>
      <c r="N3526" s="512" t="s">
        <v>609</v>
      </c>
      <c r="O3526" s="512" t="s">
        <v>4326</v>
      </c>
      <c r="P3526" s="512">
        <f>I3522</f>
        <v>2255</v>
      </c>
      <c r="Q3526" s="512" t="s">
        <v>609</v>
      </c>
      <c r="R3526" s="512">
        <f t="shared" ref="R3526:R3534" si="333">P3526*M3526</f>
        <v>7351.3</v>
      </c>
      <c r="S3526" s="512">
        <v>1</v>
      </c>
      <c r="T3526" s="512" t="s">
        <v>769</v>
      </c>
      <c r="U3526" s="512" t="s">
        <v>3641</v>
      </c>
      <c r="V3526" s="512">
        <f t="shared" si="330"/>
        <v>49.55</v>
      </c>
      <c r="W3526" s="520" t="s">
        <v>769</v>
      </c>
      <c r="X3526" s="512">
        <f t="shared" si="331"/>
        <v>49.55</v>
      </c>
    </row>
    <row r="3527" spans="6:32" ht="20.25" customHeight="1">
      <c r="F3527" s="512">
        <v>1</v>
      </c>
      <c r="G3527" s="512" t="s">
        <v>769</v>
      </c>
      <c r="H3527" s="512" t="s">
        <v>3874</v>
      </c>
      <c r="I3527" s="512">
        <f>C286</f>
        <v>181</v>
      </c>
      <c r="J3527" s="512" t="s">
        <v>769</v>
      </c>
      <c r="K3527" s="512">
        <f t="shared" si="332"/>
        <v>181</v>
      </c>
      <c r="M3527" s="512">
        <f>M3526</f>
        <v>3.26</v>
      </c>
      <c r="N3527" s="512" t="s">
        <v>609</v>
      </c>
      <c r="O3527" s="512" t="s">
        <v>3881</v>
      </c>
      <c r="P3527" s="512">
        <f t="shared" ref="P3527:P3534" si="334">I3523</f>
        <v>0</v>
      </c>
      <c r="Q3527" s="512" t="s">
        <v>609</v>
      </c>
      <c r="R3527" s="512">
        <f t="shared" si="333"/>
        <v>0</v>
      </c>
      <c r="S3527" s="599">
        <v>0.39</v>
      </c>
      <c r="T3527" s="598" t="s">
        <v>609</v>
      </c>
      <c r="U3527" s="598" t="s">
        <v>3760</v>
      </c>
      <c r="V3527" s="512">
        <f t="shared" si="330"/>
        <v>233.74</v>
      </c>
      <c r="W3527" s="600" t="s">
        <v>609</v>
      </c>
      <c r="X3527" s="598"/>
    </row>
    <row r="3528" spans="6:32" ht="20.25" customHeight="1">
      <c r="F3528" s="512">
        <v>118</v>
      </c>
      <c r="G3528" s="512" t="s">
        <v>769</v>
      </c>
      <c r="H3528" s="512" t="s">
        <v>3639</v>
      </c>
      <c r="I3528" s="512">
        <f>P3448</f>
        <v>2.41</v>
      </c>
      <c r="J3528" s="512" t="s">
        <v>769</v>
      </c>
      <c r="K3528" s="512">
        <f t="shared" si="332"/>
        <v>284.38</v>
      </c>
      <c r="M3528" s="512">
        <v>4</v>
      </c>
      <c r="N3528" s="512" t="s">
        <v>769</v>
      </c>
      <c r="O3528" s="512" t="s">
        <v>3636</v>
      </c>
      <c r="P3528" s="512">
        <f t="shared" si="334"/>
        <v>57.65</v>
      </c>
      <c r="Q3528" s="512" t="s">
        <v>769</v>
      </c>
      <c r="R3528" s="512">
        <f t="shared" si="333"/>
        <v>230.6</v>
      </c>
      <c r="S3528" s="512"/>
      <c r="T3528" s="512"/>
      <c r="U3528" s="512" t="s">
        <v>3762</v>
      </c>
      <c r="V3528" s="512"/>
      <c r="W3528" s="520"/>
      <c r="X3528" s="512">
        <f>SUM(X3518:X3527)</f>
        <v>6851.47</v>
      </c>
    </row>
    <row r="3529" spans="6:32" ht="20.25" customHeight="1">
      <c r="F3529" s="512">
        <v>2</v>
      </c>
      <c r="G3529" s="512" t="s">
        <v>769</v>
      </c>
      <c r="H3529" s="512" t="s">
        <v>3875</v>
      </c>
      <c r="I3529" s="512">
        <f>P3197</f>
        <v>23.1</v>
      </c>
      <c r="J3529" s="512" t="s">
        <v>769</v>
      </c>
      <c r="K3529" s="512">
        <f t="shared" si="332"/>
        <v>46.2</v>
      </c>
      <c r="M3529" s="512">
        <v>10</v>
      </c>
      <c r="N3529" s="512" t="s">
        <v>769</v>
      </c>
      <c r="O3529" s="512" t="s">
        <v>3637</v>
      </c>
      <c r="P3529" s="512">
        <f t="shared" si="334"/>
        <v>89.6</v>
      </c>
      <c r="Q3529" s="512" t="s">
        <v>769</v>
      </c>
      <c r="R3529" s="512">
        <f t="shared" si="333"/>
        <v>896</v>
      </c>
      <c r="S3529" s="512"/>
      <c r="T3529" s="512"/>
      <c r="U3529" s="512" t="s">
        <v>3225</v>
      </c>
      <c r="V3529" s="512"/>
      <c r="W3529" s="520"/>
      <c r="X3529" s="512">
        <f>X3528/S3519</f>
        <v>2676.36</v>
      </c>
    </row>
    <row r="3530" spans="6:32" ht="20.25" customHeight="1">
      <c r="F3530" s="512">
        <v>2</v>
      </c>
      <c r="G3530" s="512" t="s">
        <v>769</v>
      </c>
      <c r="H3530" s="512" t="s">
        <v>3641</v>
      </c>
      <c r="I3530" s="512">
        <f>P3403</f>
        <v>49.55</v>
      </c>
      <c r="J3530" s="512" t="s">
        <v>769</v>
      </c>
      <c r="K3530" s="512">
        <f t="shared" si="332"/>
        <v>99.1</v>
      </c>
      <c r="M3530" s="512">
        <v>3</v>
      </c>
      <c r="N3530" s="512" t="s">
        <v>769</v>
      </c>
      <c r="O3530" s="512" t="s">
        <v>3638</v>
      </c>
      <c r="P3530" s="512">
        <f t="shared" si="334"/>
        <v>64.8</v>
      </c>
      <c r="Q3530" s="512" t="s">
        <v>769</v>
      </c>
      <c r="R3530" s="512">
        <f t="shared" si="333"/>
        <v>194.4</v>
      </c>
      <c r="W3530" s="253"/>
    </row>
    <row r="3531" spans="6:32" ht="20.25" customHeight="1">
      <c r="F3531" s="516">
        <v>0.41099999999999998</v>
      </c>
      <c r="G3531" s="512" t="s">
        <v>609</v>
      </c>
      <c r="H3531" s="512" t="s">
        <v>3642</v>
      </c>
      <c r="I3531" s="512">
        <f>I1136</f>
        <v>194.22</v>
      </c>
      <c r="J3531" s="512" t="s">
        <v>609</v>
      </c>
      <c r="K3531" s="512"/>
      <c r="M3531" s="512">
        <v>1</v>
      </c>
      <c r="N3531" s="512" t="s">
        <v>769</v>
      </c>
      <c r="O3531" s="512" t="s">
        <v>2455</v>
      </c>
      <c r="P3531" s="512">
        <f t="shared" si="334"/>
        <v>181</v>
      </c>
      <c r="Q3531" s="512" t="s">
        <v>769</v>
      </c>
      <c r="R3531" s="512">
        <f t="shared" si="333"/>
        <v>181</v>
      </c>
      <c r="W3531" s="253"/>
    </row>
    <row r="3532" spans="6:32" ht="20.25" customHeight="1">
      <c r="F3532" s="512"/>
      <c r="G3532" s="512"/>
      <c r="H3532" s="512" t="s">
        <v>3756</v>
      </c>
      <c r="I3532" s="512"/>
      <c r="J3532" s="513"/>
      <c r="K3532" s="512">
        <f>SUM(K3522:K3531)</f>
        <v>7590.08</v>
      </c>
      <c r="M3532" s="512">
        <v>162</v>
      </c>
      <c r="N3532" s="512" t="s">
        <v>769</v>
      </c>
      <c r="O3532" s="512" t="s">
        <v>3639</v>
      </c>
      <c r="P3532" s="512">
        <f t="shared" si="334"/>
        <v>2.41</v>
      </c>
      <c r="Q3532" s="512" t="s">
        <v>769</v>
      </c>
      <c r="R3532" s="512">
        <f t="shared" si="333"/>
        <v>390.42</v>
      </c>
      <c r="W3532" s="253"/>
    </row>
    <row r="3533" spans="6:32" ht="20.25" customHeight="1">
      <c r="F3533" s="512"/>
      <c r="G3533" s="512"/>
      <c r="H3533" s="512" t="s">
        <v>3225</v>
      </c>
      <c r="I3533" s="512"/>
      <c r="J3533" s="513"/>
      <c r="K3533" s="512">
        <f>K3532/F3523</f>
        <v>2964.88</v>
      </c>
      <c r="M3533" s="512">
        <v>2</v>
      </c>
      <c r="N3533" s="512" t="s">
        <v>769</v>
      </c>
      <c r="O3533" s="512" t="s">
        <v>3640</v>
      </c>
      <c r="P3533" s="512">
        <f t="shared" si="334"/>
        <v>23.1</v>
      </c>
      <c r="Q3533" s="512" t="s">
        <v>769</v>
      </c>
      <c r="R3533" s="512">
        <f t="shared" si="333"/>
        <v>46.2</v>
      </c>
      <c r="W3533" s="253"/>
    </row>
    <row r="3534" spans="6:32" ht="20.25" customHeight="1">
      <c r="H3534" s="512"/>
      <c r="K3534" s="512"/>
      <c r="M3534" s="512">
        <v>2</v>
      </c>
      <c r="N3534" s="512" t="s">
        <v>769</v>
      </c>
      <c r="O3534" s="512" t="s">
        <v>3641</v>
      </c>
      <c r="P3534" s="512">
        <f t="shared" si="334"/>
        <v>49.55</v>
      </c>
      <c r="Q3534" s="512" t="s">
        <v>769</v>
      </c>
      <c r="R3534" s="512">
        <f t="shared" si="333"/>
        <v>99.1</v>
      </c>
      <c r="W3534" s="253"/>
    </row>
    <row r="3535" spans="6:32" ht="20.25" customHeight="1">
      <c r="M3535" s="516">
        <v>0</v>
      </c>
      <c r="N3535" s="512" t="s">
        <v>609</v>
      </c>
      <c r="O3535" s="512" t="s">
        <v>3642</v>
      </c>
      <c r="P3535" s="512">
        <f>I3531</f>
        <v>194.22</v>
      </c>
      <c r="Q3535" s="512" t="s">
        <v>609</v>
      </c>
      <c r="R3535" s="512">
        <f>P3535*M3535</f>
        <v>0</v>
      </c>
      <c r="W3535" s="253"/>
    </row>
    <row r="3536" spans="6:32" ht="20.25" customHeight="1">
      <c r="F3536" s="512"/>
      <c r="G3536" s="512"/>
      <c r="H3536" s="512" t="s">
        <v>3644</v>
      </c>
      <c r="I3536" s="512"/>
      <c r="J3536" s="513"/>
      <c r="M3536" s="512"/>
      <c r="N3536" s="512"/>
      <c r="O3536" s="512" t="s">
        <v>3753</v>
      </c>
      <c r="P3536" s="512"/>
      <c r="Q3536" s="513"/>
      <c r="R3536" s="512">
        <f>SUM(R3526:R3535)</f>
        <v>9389.02</v>
      </c>
      <c r="S3536" s="512"/>
      <c r="T3536" s="512"/>
      <c r="U3536" s="512" t="s">
        <v>3761</v>
      </c>
      <c r="V3536" s="512"/>
      <c r="W3536" s="520"/>
      <c r="AB3536" s="512"/>
      <c r="AC3536" s="512"/>
      <c r="AD3536" s="512" t="s">
        <v>4348</v>
      </c>
      <c r="AE3536" s="512"/>
      <c r="AF3536" s="513"/>
    </row>
    <row r="3537" spans="6:33" ht="20.25" customHeight="1">
      <c r="H3537" s="512" t="s">
        <v>3768</v>
      </c>
      <c r="I3537" s="252">
        <f>0.9*2.025</f>
        <v>1.82</v>
      </c>
      <c r="M3537" s="512"/>
      <c r="N3537" s="512"/>
      <c r="O3537" s="512" t="s">
        <v>3225</v>
      </c>
      <c r="P3537" s="512"/>
      <c r="Q3537" s="513"/>
      <c r="R3537" s="512">
        <f>R3536/M3527</f>
        <v>2880.07</v>
      </c>
      <c r="S3537" s="252"/>
      <c r="U3537" s="512" t="s">
        <v>3769</v>
      </c>
      <c r="V3537" s="252">
        <f>0.9*2.325</f>
        <v>2.09</v>
      </c>
      <c r="W3537" s="253"/>
      <c r="AD3537" s="512" t="s">
        <v>4637</v>
      </c>
      <c r="AE3537" s="252">
        <f>0.8*2.025</f>
        <v>1.62</v>
      </c>
      <c r="AF3537" s="296"/>
    </row>
    <row r="3538" spans="6:33" ht="20.25" customHeight="1">
      <c r="F3538" s="512">
        <f>I3537</f>
        <v>1.82</v>
      </c>
      <c r="G3538" s="512" t="s">
        <v>609</v>
      </c>
      <c r="H3538" s="512" t="s">
        <v>3634</v>
      </c>
      <c r="I3538" s="598">
        <f>I3522</f>
        <v>2255</v>
      </c>
      <c r="J3538" s="512" t="s">
        <v>609</v>
      </c>
      <c r="K3538" s="512">
        <f>I3538*F3538</f>
        <v>4104.1000000000004</v>
      </c>
      <c r="Q3538" s="512"/>
      <c r="R3538" s="461"/>
      <c r="S3538" s="512">
        <f>V3537</f>
        <v>2.09</v>
      </c>
      <c r="T3538" s="512" t="s">
        <v>609</v>
      </c>
      <c r="U3538" s="512" t="s">
        <v>3634</v>
      </c>
      <c r="V3538" s="512">
        <f>I3538</f>
        <v>2255</v>
      </c>
      <c r="W3538" s="520" t="s">
        <v>609</v>
      </c>
      <c r="X3538" s="512">
        <f>V3538*S3538</f>
        <v>4712.95</v>
      </c>
      <c r="AB3538" s="512">
        <f>AE3537</f>
        <v>1.62</v>
      </c>
      <c r="AC3538" s="512" t="s">
        <v>609</v>
      </c>
      <c r="AD3538" s="512" t="s">
        <v>4350</v>
      </c>
      <c r="AE3538" s="598">
        <f>I3522</f>
        <v>2255</v>
      </c>
      <c r="AF3538" s="512" t="s">
        <v>609</v>
      </c>
      <c r="AG3538" s="512">
        <f>AE3538*AB3538</f>
        <v>3653.1</v>
      </c>
    </row>
    <row r="3539" spans="6:33" ht="20.25" customHeight="1">
      <c r="F3539" s="512">
        <f>I3537</f>
        <v>1.82</v>
      </c>
      <c r="G3539" s="512" t="s">
        <v>609</v>
      </c>
      <c r="H3539" s="512" t="s">
        <v>4600</v>
      </c>
      <c r="I3539" s="598">
        <f>AE52</f>
        <v>0</v>
      </c>
      <c r="J3539" s="512" t="s">
        <v>609</v>
      </c>
      <c r="K3539" s="512">
        <f t="shared" ref="K3539:K3546" si="335">I3539*F3539</f>
        <v>0</v>
      </c>
      <c r="S3539" s="512">
        <f>V3537</f>
        <v>2.09</v>
      </c>
      <c r="T3539" s="512" t="s">
        <v>609</v>
      </c>
      <c r="U3539" s="512" t="s">
        <v>3635</v>
      </c>
      <c r="V3539" s="512">
        <f t="shared" ref="V3539:V3547" si="336">I3539</f>
        <v>0</v>
      </c>
      <c r="W3539" s="520" t="s">
        <v>609</v>
      </c>
      <c r="X3539" s="512">
        <f t="shared" ref="X3539:X3546" si="337">V3539*S3539</f>
        <v>0</v>
      </c>
      <c r="AB3539" s="512">
        <f>AE3537</f>
        <v>1.62</v>
      </c>
      <c r="AC3539" s="512" t="s">
        <v>609</v>
      </c>
      <c r="AD3539" s="512" t="s">
        <v>3870</v>
      </c>
      <c r="AE3539" s="598">
        <f>I3539</f>
        <v>0</v>
      </c>
      <c r="AF3539" s="512" t="s">
        <v>609</v>
      </c>
      <c r="AG3539" s="512">
        <f t="shared" ref="AG3539:AG3546" si="338">AE3539*AB3539</f>
        <v>0</v>
      </c>
    </row>
    <row r="3540" spans="6:33" ht="20.25" customHeight="1">
      <c r="F3540" s="512">
        <v>2</v>
      </c>
      <c r="G3540" s="512" t="s">
        <v>769</v>
      </c>
      <c r="H3540" s="512" t="s">
        <v>3636</v>
      </c>
      <c r="I3540" s="512">
        <f t="shared" ref="I3540:I3546" si="339">I3524</f>
        <v>57.65</v>
      </c>
      <c r="J3540" s="512" t="s">
        <v>769</v>
      </c>
      <c r="K3540" s="512">
        <f t="shared" si="335"/>
        <v>115.3</v>
      </c>
      <c r="M3540" s="512"/>
      <c r="N3540" s="512"/>
      <c r="O3540" s="512" t="s">
        <v>3754</v>
      </c>
      <c r="P3540" s="512"/>
      <c r="Q3540" s="513"/>
      <c r="S3540" s="512">
        <v>2</v>
      </c>
      <c r="T3540" s="512" t="s">
        <v>769</v>
      </c>
      <c r="U3540" s="512" t="s">
        <v>3636</v>
      </c>
      <c r="V3540" s="512">
        <f t="shared" si="336"/>
        <v>57.65</v>
      </c>
      <c r="W3540" s="520" t="s">
        <v>769</v>
      </c>
      <c r="X3540" s="512">
        <f t="shared" si="337"/>
        <v>115.3</v>
      </c>
      <c r="AB3540" s="512">
        <v>2</v>
      </c>
      <c r="AC3540" s="512" t="s">
        <v>769</v>
      </c>
      <c r="AD3540" s="512" t="s">
        <v>3636</v>
      </c>
      <c r="AE3540" s="598">
        <f t="shared" ref="AE3540:AE3547" si="340">I3540</f>
        <v>57.65</v>
      </c>
      <c r="AF3540" s="512" t="s">
        <v>769</v>
      </c>
      <c r="AG3540" s="512">
        <f t="shared" si="338"/>
        <v>115.3</v>
      </c>
    </row>
    <row r="3541" spans="6:33" ht="20.25" customHeight="1">
      <c r="F3541" s="512">
        <v>3</v>
      </c>
      <c r="G3541" s="512" t="s">
        <v>769</v>
      </c>
      <c r="H3541" s="512" t="s">
        <v>3637</v>
      </c>
      <c r="I3541" s="512">
        <f t="shared" si="339"/>
        <v>89.6</v>
      </c>
      <c r="J3541" s="512" t="s">
        <v>769</v>
      </c>
      <c r="K3541" s="512">
        <f t="shared" si="335"/>
        <v>268.8</v>
      </c>
      <c r="O3541" s="540" t="s">
        <v>3755</v>
      </c>
      <c r="P3541" s="540">
        <f>1.1*2.325</f>
        <v>2.56</v>
      </c>
      <c r="Q3541" s="296"/>
      <c r="S3541" s="512">
        <v>4</v>
      </c>
      <c r="T3541" s="512" t="s">
        <v>769</v>
      </c>
      <c r="U3541" s="512" t="s">
        <v>3637</v>
      </c>
      <c r="V3541" s="512">
        <f t="shared" si="336"/>
        <v>89.6</v>
      </c>
      <c r="W3541" s="520" t="s">
        <v>769</v>
      </c>
      <c r="X3541" s="512">
        <f t="shared" si="337"/>
        <v>358.4</v>
      </c>
      <c r="AB3541" s="512">
        <v>3</v>
      </c>
      <c r="AC3541" s="512" t="s">
        <v>769</v>
      </c>
      <c r="AD3541" s="512" t="s">
        <v>3637</v>
      </c>
      <c r="AE3541" s="598">
        <f t="shared" si="340"/>
        <v>89.6</v>
      </c>
      <c r="AF3541" s="512" t="s">
        <v>769</v>
      </c>
      <c r="AG3541" s="512">
        <f t="shared" si="338"/>
        <v>268.8</v>
      </c>
    </row>
    <row r="3542" spans="6:33" ht="20.25" customHeight="1">
      <c r="F3542" s="512">
        <v>2</v>
      </c>
      <c r="G3542" s="512" t="s">
        <v>769</v>
      </c>
      <c r="H3542" s="512" t="s">
        <v>3638</v>
      </c>
      <c r="I3542" s="512">
        <f t="shared" si="339"/>
        <v>64.8</v>
      </c>
      <c r="J3542" s="512" t="s">
        <v>769</v>
      </c>
      <c r="K3542" s="512">
        <f t="shared" si="335"/>
        <v>129.6</v>
      </c>
      <c r="M3542" s="512">
        <f>P3541</f>
        <v>2.56</v>
      </c>
      <c r="N3542" s="512" t="s">
        <v>609</v>
      </c>
      <c r="O3542" s="512" t="s">
        <v>3634</v>
      </c>
      <c r="P3542" s="512">
        <f>I3538</f>
        <v>2255</v>
      </c>
      <c r="Q3542" s="512" t="s">
        <v>609</v>
      </c>
      <c r="R3542" s="512">
        <f>P3542*M3542</f>
        <v>5772.8</v>
      </c>
      <c r="S3542" s="512">
        <v>2</v>
      </c>
      <c r="T3542" s="512" t="s">
        <v>769</v>
      </c>
      <c r="U3542" s="512" t="s">
        <v>3638</v>
      </c>
      <c r="V3542" s="512">
        <f t="shared" si="336"/>
        <v>64.8</v>
      </c>
      <c r="W3542" s="520" t="s">
        <v>769</v>
      </c>
      <c r="X3542" s="512">
        <f t="shared" si="337"/>
        <v>129.6</v>
      </c>
      <c r="AB3542" s="512">
        <v>2</v>
      </c>
      <c r="AC3542" s="512" t="s">
        <v>769</v>
      </c>
      <c r="AD3542" s="512" t="s">
        <v>3638</v>
      </c>
      <c r="AE3542" s="598">
        <f t="shared" si="340"/>
        <v>64.8</v>
      </c>
      <c r="AF3542" s="512" t="s">
        <v>769</v>
      </c>
      <c r="AG3542" s="512">
        <f t="shared" si="338"/>
        <v>129.6</v>
      </c>
    </row>
    <row r="3543" spans="6:33" ht="20.25" customHeight="1">
      <c r="F3543" s="512">
        <v>1</v>
      </c>
      <c r="G3543" s="512" t="s">
        <v>769</v>
      </c>
      <c r="H3543" s="512" t="s">
        <v>2455</v>
      </c>
      <c r="I3543" s="512">
        <f t="shared" si="339"/>
        <v>181</v>
      </c>
      <c r="J3543" s="512" t="s">
        <v>769</v>
      </c>
      <c r="K3543" s="512">
        <f t="shared" si="335"/>
        <v>181</v>
      </c>
      <c r="M3543" s="512">
        <f>P3541</f>
        <v>2.56</v>
      </c>
      <c r="N3543" s="512" t="s">
        <v>609</v>
      </c>
      <c r="O3543" s="512" t="s">
        <v>4270</v>
      </c>
      <c r="P3543" s="512">
        <f t="shared" ref="P3543:P3551" si="341">I3539</f>
        <v>0</v>
      </c>
      <c r="Q3543" s="512" t="s">
        <v>609</v>
      </c>
      <c r="R3543" s="512">
        <f t="shared" ref="R3543:R3551" si="342">P3543*M3543</f>
        <v>0</v>
      </c>
      <c r="S3543" s="512">
        <v>1</v>
      </c>
      <c r="T3543" s="512" t="s">
        <v>769</v>
      </c>
      <c r="U3543" s="512" t="s">
        <v>2455</v>
      </c>
      <c r="V3543" s="512">
        <f t="shared" si="336"/>
        <v>181</v>
      </c>
      <c r="W3543" s="520" t="s">
        <v>769</v>
      </c>
      <c r="X3543" s="512">
        <f t="shared" si="337"/>
        <v>181</v>
      </c>
      <c r="AB3543" s="512">
        <v>1</v>
      </c>
      <c r="AC3543" s="512" t="s">
        <v>769</v>
      </c>
      <c r="AD3543" s="512" t="s">
        <v>2455</v>
      </c>
      <c r="AE3543" s="598">
        <f t="shared" si="340"/>
        <v>181</v>
      </c>
      <c r="AF3543" s="512" t="s">
        <v>769</v>
      </c>
      <c r="AG3543" s="512">
        <f t="shared" si="338"/>
        <v>181</v>
      </c>
    </row>
    <row r="3544" spans="6:33" ht="20.25" customHeight="1">
      <c r="F3544" s="512">
        <v>92</v>
      </c>
      <c r="G3544" s="512" t="s">
        <v>769</v>
      </c>
      <c r="H3544" s="512" t="s">
        <v>3639</v>
      </c>
      <c r="I3544" s="512">
        <f t="shared" si="339"/>
        <v>2.41</v>
      </c>
      <c r="J3544" s="512" t="s">
        <v>769</v>
      </c>
      <c r="K3544" s="512">
        <f t="shared" si="335"/>
        <v>221.72</v>
      </c>
      <c r="M3544" s="512">
        <f>F3540</f>
        <v>2</v>
      </c>
      <c r="N3544" s="512" t="s">
        <v>769</v>
      </c>
      <c r="O3544" s="512" t="s">
        <v>3636</v>
      </c>
      <c r="P3544" s="512">
        <f t="shared" si="341"/>
        <v>57.65</v>
      </c>
      <c r="Q3544" s="512" t="s">
        <v>769</v>
      </c>
      <c r="R3544" s="512">
        <f t="shared" si="342"/>
        <v>115.3</v>
      </c>
      <c r="S3544" s="512">
        <v>92</v>
      </c>
      <c r="T3544" s="512" t="s">
        <v>769</v>
      </c>
      <c r="U3544" s="512" t="s">
        <v>3639</v>
      </c>
      <c r="V3544" s="512">
        <f t="shared" si="336"/>
        <v>2.41</v>
      </c>
      <c r="W3544" s="520" t="s">
        <v>769</v>
      </c>
      <c r="X3544" s="512">
        <f t="shared" si="337"/>
        <v>221.72</v>
      </c>
      <c r="AB3544" s="512">
        <v>92</v>
      </c>
      <c r="AC3544" s="512" t="s">
        <v>769</v>
      </c>
      <c r="AD3544" s="512" t="s">
        <v>3639</v>
      </c>
      <c r="AE3544" s="598">
        <f t="shared" si="340"/>
        <v>2.41</v>
      </c>
      <c r="AF3544" s="512" t="s">
        <v>769</v>
      </c>
      <c r="AG3544" s="512">
        <f t="shared" si="338"/>
        <v>221.72</v>
      </c>
    </row>
    <row r="3545" spans="6:33" ht="20.25" customHeight="1">
      <c r="F3545" s="512">
        <v>1</v>
      </c>
      <c r="G3545" s="512" t="s">
        <v>769</v>
      </c>
      <c r="H3545" s="512" t="s">
        <v>3640</v>
      </c>
      <c r="I3545" s="512">
        <f t="shared" si="339"/>
        <v>23.1</v>
      </c>
      <c r="J3545" s="512" t="s">
        <v>769</v>
      </c>
      <c r="K3545" s="512">
        <f t="shared" si="335"/>
        <v>23.1</v>
      </c>
      <c r="M3545" s="512">
        <f t="shared" ref="M3545:M3550" si="343">F3541</f>
        <v>3</v>
      </c>
      <c r="N3545" s="512" t="s">
        <v>769</v>
      </c>
      <c r="O3545" s="512" t="s">
        <v>3637</v>
      </c>
      <c r="P3545" s="512">
        <f t="shared" si="341"/>
        <v>89.6</v>
      </c>
      <c r="Q3545" s="512" t="s">
        <v>769</v>
      </c>
      <c r="R3545" s="512">
        <f t="shared" si="342"/>
        <v>268.8</v>
      </c>
      <c r="S3545" s="512">
        <v>1</v>
      </c>
      <c r="T3545" s="512" t="s">
        <v>769</v>
      </c>
      <c r="U3545" s="512" t="s">
        <v>3640</v>
      </c>
      <c r="V3545" s="512">
        <f t="shared" si="336"/>
        <v>23.1</v>
      </c>
      <c r="W3545" s="520" t="s">
        <v>769</v>
      </c>
      <c r="X3545" s="512">
        <f t="shared" si="337"/>
        <v>23.1</v>
      </c>
      <c r="AB3545" s="512">
        <v>1</v>
      </c>
      <c r="AC3545" s="512" t="s">
        <v>769</v>
      </c>
      <c r="AD3545" s="512" t="s">
        <v>3640</v>
      </c>
      <c r="AE3545" s="598">
        <f t="shared" si="340"/>
        <v>23.1</v>
      </c>
      <c r="AF3545" s="512" t="s">
        <v>769</v>
      </c>
      <c r="AG3545" s="512">
        <f t="shared" si="338"/>
        <v>23.1</v>
      </c>
    </row>
    <row r="3546" spans="6:33" ht="20.25" customHeight="1">
      <c r="F3546" s="512">
        <v>1</v>
      </c>
      <c r="G3546" s="512" t="s">
        <v>769</v>
      </c>
      <c r="H3546" s="512" t="s">
        <v>3641</v>
      </c>
      <c r="I3546" s="512">
        <f t="shared" si="339"/>
        <v>49.55</v>
      </c>
      <c r="J3546" s="512" t="s">
        <v>769</v>
      </c>
      <c r="K3546" s="512">
        <f t="shared" si="335"/>
        <v>49.55</v>
      </c>
      <c r="M3546" s="512">
        <f t="shared" si="343"/>
        <v>2</v>
      </c>
      <c r="N3546" s="512" t="s">
        <v>769</v>
      </c>
      <c r="O3546" s="512" t="s">
        <v>3638</v>
      </c>
      <c r="P3546" s="512">
        <f t="shared" si="341"/>
        <v>64.8</v>
      </c>
      <c r="Q3546" s="512" t="s">
        <v>769</v>
      </c>
      <c r="R3546" s="512">
        <f t="shared" si="342"/>
        <v>129.6</v>
      </c>
      <c r="S3546" s="512">
        <v>1</v>
      </c>
      <c r="T3546" s="512" t="s">
        <v>769</v>
      </c>
      <c r="U3546" s="512" t="s">
        <v>3641</v>
      </c>
      <c r="V3546" s="512">
        <f t="shared" si="336"/>
        <v>49.55</v>
      </c>
      <c r="W3546" s="520" t="s">
        <v>769</v>
      </c>
      <c r="X3546" s="512">
        <f t="shared" si="337"/>
        <v>49.55</v>
      </c>
      <c r="AB3546" s="512">
        <v>1</v>
      </c>
      <c r="AC3546" s="512" t="s">
        <v>769</v>
      </c>
      <c r="AD3546" s="512" t="s">
        <v>3641</v>
      </c>
      <c r="AE3546" s="598">
        <f t="shared" si="340"/>
        <v>49.55</v>
      </c>
      <c r="AF3546" s="512" t="s">
        <v>769</v>
      </c>
      <c r="AG3546" s="512">
        <f t="shared" si="338"/>
        <v>49.55</v>
      </c>
    </row>
    <row r="3547" spans="6:33" ht="20.25" customHeight="1">
      <c r="F3547" s="599">
        <v>0.35</v>
      </c>
      <c r="G3547" s="598" t="s">
        <v>609</v>
      </c>
      <c r="H3547" s="598" t="s">
        <v>3760</v>
      </c>
      <c r="I3547" s="598">
        <f>K1540</f>
        <v>233.74</v>
      </c>
      <c r="J3547" s="598" t="s">
        <v>609</v>
      </c>
      <c r="K3547" s="598"/>
      <c r="M3547" s="512">
        <f t="shared" si="343"/>
        <v>1</v>
      </c>
      <c r="N3547" s="512" t="s">
        <v>769</v>
      </c>
      <c r="O3547" s="512" t="s">
        <v>2455</v>
      </c>
      <c r="P3547" s="512">
        <f t="shared" si="341"/>
        <v>181</v>
      </c>
      <c r="Q3547" s="512" t="s">
        <v>769</v>
      </c>
      <c r="R3547" s="512">
        <f t="shared" si="342"/>
        <v>181</v>
      </c>
      <c r="S3547" s="599">
        <v>0.39</v>
      </c>
      <c r="T3547" s="598" t="s">
        <v>609</v>
      </c>
      <c r="U3547" s="598" t="s">
        <v>3760</v>
      </c>
      <c r="V3547" s="512">
        <f t="shared" si="336"/>
        <v>233.74</v>
      </c>
      <c r="W3547" s="600" t="s">
        <v>609</v>
      </c>
      <c r="X3547" s="598"/>
      <c r="AB3547" s="599">
        <v>0.35</v>
      </c>
      <c r="AC3547" s="598" t="s">
        <v>609</v>
      </c>
      <c r="AD3547" s="598" t="s">
        <v>3760</v>
      </c>
      <c r="AE3547" s="598">
        <f t="shared" si="340"/>
        <v>233.74</v>
      </c>
      <c r="AF3547" s="598" t="s">
        <v>609</v>
      </c>
      <c r="AG3547" s="512"/>
    </row>
    <row r="3548" spans="6:33" ht="20.25" customHeight="1">
      <c r="F3548" s="512"/>
      <c r="G3548" s="512"/>
      <c r="H3548" s="512" t="s">
        <v>3645</v>
      </c>
      <c r="I3548" s="512"/>
      <c r="J3548" s="513"/>
      <c r="K3548" s="512">
        <f>SUM(K3538:K3547)</f>
        <v>5093.17</v>
      </c>
      <c r="M3548" s="512">
        <f t="shared" si="343"/>
        <v>92</v>
      </c>
      <c r="N3548" s="512" t="s">
        <v>769</v>
      </c>
      <c r="O3548" s="512" t="s">
        <v>3639</v>
      </c>
      <c r="P3548" s="512">
        <f t="shared" si="341"/>
        <v>2.41</v>
      </c>
      <c r="Q3548" s="512" t="s">
        <v>769</v>
      </c>
      <c r="R3548" s="512">
        <f t="shared" si="342"/>
        <v>221.72</v>
      </c>
      <c r="S3548" s="512"/>
      <c r="T3548" s="512"/>
      <c r="U3548" s="512" t="s">
        <v>3762</v>
      </c>
      <c r="V3548" s="512"/>
      <c r="W3548" s="520"/>
      <c r="X3548" s="512">
        <f>SUM(X3538:X3547)</f>
        <v>5791.62</v>
      </c>
      <c r="AB3548" s="512"/>
      <c r="AC3548" s="512"/>
      <c r="AD3548" s="512" t="s">
        <v>4349</v>
      </c>
      <c r="AE3548" s="512"/>
      <c r="AF3548" s="513"/>
      <c r="AG3548" s="512">
        <f>SUM(AG3538:AG3547)</f>
        <v>4642.17</v>
      </c>
    </row>
    <row r="3549" spans="6:33" ht="20.25" customHeight="1">
      <c r="F3549" s="512"/>
      <c r="G3549" s="512"/>
      <c r="H3549" s="512" t="s">
        <v>3225</v>
      </c>
      <c r="I3549" s="512"/>
      <c r="J3549" s="513"/>
      <c r="K3549" s="512">
        <f>K3548/F3539</f>
        <v>2798.45</v>
      </c>
      <c r="M3549" s="512">
        <f t="shared" si="343"/>
        <v>1</v>
      </c>
      <c r="N3549" s="512" t="s">
        <v>769</v>
      </c>
      <c r="O3549" s="512" t="s">
        <v>3640</v>
      </c>
      <c r="P3549" s="512">
        <f t="shared" si="341"/>
        <v>23.1</v>
      </c>
      <c r="Q3549" s="512" t="s">
        <v>769</v>
      </c>
      <c r="R3549" s="512">
        <f t="shared" si="342"/>
        <v>23.1</v>
      </c>
      <c r="S3549" s="512"/>
      <c r="T3549" s="512"/>
      <c r="U3549" s="512" t="s">
        <v>3225</v>
      </c>
      <c r="V3549" s="512"/>
      <c r="W3549" s="520"/>
      <c r="X3549" s="512">
        <f>X3548/S3539</f>
        <v>2771.11</v>
      </c>
      <c r="AB3549" s="512"/>
      <c r="AC3549" s="512"/>
      <c r="AD3549" s="512" t="s">
        <v>3225</v>
      </c>
      <c r="AE3549" s="512"/>
      <c r="AF3549" s="513"/>
      <c r="AG3549" s="512">
        <f>AG3548/AB3539</f>
        <v>2865.54</v>
      </c>
    </row>
    <row r="3550" spans="6:33" ht="20.25" customHeight="1">
      <c r="M3550" s="512">
        <f t="shared" si="343"/>
        <v>1</v>
      </c>
      <c r="N3550" s="512" t="s">
        <v>769</v>
      </c>
      <c r="O3550" s="512" t="s">
        <v>3641</v>
      </c>
      <c r="P3550" s="512">
        <f t="shared" si="341"/>
        <v>49.55</v>
      </c>
      <c r="Q3550" s="512" t="s">
        <v>769</v>
      </c>
      <c r="R3550" s="512">
        <f t="shared" si="342"/>
        <v>49.55</v>
      </c>
      <c r="W3550" s="253"/>
      <c r="AF3550" s="296"/>
    </row>
    <row r="3551" spans="6:33" ht="20.25" customHeight="1">
      <c r="M3551" s="516"/>
      <c r="N3551" s="512" t="s">
        <v>609</v>
      </c>
      <c r="O3551" s="512" t="s">
        <v>3642</v>
      </c>
      <c r="P3551" s="512">
        <f t="shared" si="341"/>
        <v>233.74</v>
      </c>
      <c r="Q3551" s="512" t="s">
        <v>609</v>
      </c>
      <c r="R3551" s="512">
        <f t="shared" si="342"/>
        <v>0</v>
      </c>
      <c r="W3551" s="253"/>
    </row>
    <row r="3552" spans="6:33" ht="20.25" customHeight="1">
      <c r="F3552" s="375"/>
      <c r="G3552" s="252" t="s">
        <v>2251</v>
      </c>
      <c r="H3552" s="296" t="s">
        <v>2219</v>
      </c>
      <c r="M3552" s="512"/>
      <c r="N3552" s="512"/>
      <c r="O3552" s="512" t="s">
        <v>3756</v>
      </c>
      <c r="P3552" s="512"/>
      <c r="Q3552" s="513"/>
      <c r="R3552" s="512">
        <f>SUM(R3542:R3551)</f>
        <v>6761.87</v>
      </c>
      <c r="S3552" s="512"/>
      <c r="T3552" s="512"/>
      <c r="U3552" s="512" t="s">
        <v>3763</v>
      </c>
      <c r="V3552" s="512"/>
      <c r="W3552" s="520"/>
      <c r="AB3552" s="512"/>
      <c r="AC3552" s="512"/>
      <c r="AD3552" s="512" t="s">
        <v>4634</v>
      </c>
      <c r="AE3552" s="512"/>
      <c r="AF3552" s="513"/>
    </row>
    <row r="3553" spans="6:33" ht="20.25" customHeight="1">
      <c r="H3553" s="276" t="s">
        <v>6146</v>
      </c>
      <c r="M3553" s="512"/>
      <c r="N3553" s="512"/>
      <c r="O3553" s="512" t="s">
        <v>3225</v>
      </c>
      <c r="P3553" s="512"/>
      <c r="Q3553" s="513"/>
      <c r="R3553" s="512">
        <f>R3552/M3543</f>
        <v>2641.36</v>
      </c>
      <c r="S3553" s="252"/>
      <c r="U3553" s="512" t="s">
        <v>3766</v>
      </c>
      <c r="V3553" s="252">
        <f>1.4*2.025</f>
        <v>2.84</v>
      </c>
      <c r="W3553" s="253"/>
      <c r="AD3553" s="512" t="s">
        <v>4635</v>
      </c>
      <c r="AE3553" s="252">
        <f>0.8*2.325</f>
        <v>1.86</v>
      </c>
      <c r="AF3553" s="296"/>
    </row>
    <row r="3554" spans="6:33" ht="20.25" customHeight="1">
      <c r="H3554" s="296" t="s">
        <v>1142</v>
      </c>
      <c r="Q3554" s="296"/>
      <c r="S3554" s="512">
        <f>V3553</f>
        <v>2.84</v>
      </c>
      <c r="T3554" s="512" t="s">
        <v>609</v>
      </c>
      <c r="U3554" s="512" t="s">
        <v>3634</v>
      </c>
      <c r="V3554" s="512">
        <f>P3526</f>
        <v>2255</v>
      </c>
      <c r="W3554" s="520" t="s">
        <v>609</v>
      </c>
      <c r="X3554" s="512">
        <f>V3554*S3554</f>
        <v>6404.2</v>
      </c>
      <c r="AB3554" s="512">
        <f>AE3553</f>
        <v>1.86</v>
      </c>
      <c r="AC3554" s="512" t="s">
        <v>609</v>
      </c>
      <c r="AD3554" s="512" t="s">
        <v>3634</v>
      </c>
      <c r="AE3554" s="512">
        <f>AE3538</f>
        <v>2255</v>
      </c>
      <c r="AF3554" s="512" t="s">
        <v>609</v>
      </c>
      <c r="AG3554" s="512">
        <f>AE3554*AB3554</f>
        <v>4194.3</v>
      </c>
    </row>
    <row r="3555" spans="6:33" ht="20.25" customHeight="1">
      <c r="H3555" s="296" t="s">
        <v>1143</v>
      </c>
      <c r="M3555" s="375"/>
      <c r="N3555" s="252" t="s">
        <v>2251</v>
      </c>
      <c r="O3555" s="296" t="s">
        <v>2219</v>
      </c>
      <c r="Q3555" s="296"/>
      <c r="S3555" s="512">
        <f>V3553</f>
        <v>2.84</v>
      </c>
      <c r="T3555" s="512" t="s">
        <v>609</v>
      </c>
      <c r="U3555" s="512" t="s">
        <v>3635</v>
      </c>
      <c r="V3555" s="512">
        <f>P3527</f>
        <v>0</v>
      </c>
      <c r="W3555" s="520" t="s">
        <v>609</v>
      </c>
      <c r="X3555" s="512">
        <f t="shared" ref="X3555:X3562" si="344">V3555*S3555</f>
        <v>0</v>
      </c>
      <c r="AB3555" s="512">
        <f>AE3553</f>
        <v>1.86</v>
      </c>
      <c r="AC3555" s="512" t="s">
        <v>609</v>
      </c>
      <c r="AD3555" s="512" t="s">
        <v>3635</v>
      </c>
      <c r="AE3555" s="512">
        <f t="shared" ref="AE3555:AE3563" si="345">AE3539</f>
        <v>0</v>
      </c>
      <c r="AF3555" s="512" t="s">
        <v>609</v>
      </c>
      <c r="AG3555" s="512">
        <f t="shared" ref="AG3555:AG3562" si="346">AE3555*AB3555</f>
        <v>0</v>
      </c>
    </row>
    <row r="3556" spans="6:33" ht="20.25" customHeight="1">
      <c r="H3556" s="358" t="s">
        <v>1586</v>
      </c>
      <c r="O3556" s="276" t="s">
        <v>6146</v>
      </c>
      <c r="Q3556" s="296"/>
      <c r="S3556" s="512">
        <v>4</v>
      </c>
      <c r="T3556" s="512" t="s">
        <v>769</v>
      </c>
      <c r="U3556" s="512" t="s">
        <v>3636</v>
      </c>
      <c r="V3556" s="512">
        <f t="shared" ref="V3556:V3563" si="347">V3540</f>
        <v>57.65</v>
      </c>
      <c r="W3556" s="520" t="s">
        <v>769</v>
      </c>
      <c r="X3556" s="512">
        <f t="shared" si="344"/>
        <v>230.6</v>
      </c>
      <c r="AB3556" s="512">
        <v>2</v>
      </c>
      <c r="AC3556" s="512" t="s">
        <v>769</v>
      </c>
      <c r="AD3556" s="512" t="s">
        <v>3636</v>
      </c>
      <c r="AE3556" s="512">
        <f t="shared" si="345"/>
        <v>57.65</v>
      </c>
      <c r="AF3556" s="512" t="s">
        <v>769</v>
      </c>
      <c r="AG3556" s="512">
        <f t="shared" si="346"/>
        <v>115.3</v>
      </c>
    </row>
    <row r="3557" spans="6:33" ht="20.25" customHeight="1">
      <c r="F3557" s="500">
        <v>1</v>
      </c>
      <c r="G3557" s="500" t="s">
        <v>868</v>
      </c>
      <c r="H3557" s="389" t="s">
        <v>4601</v>
      </c>
      <c r="I3557" s="501">
        <v>1672</v>
      </c>
      <c r="J3557" s="312" t="s">
        <v>868</v>
      </c>
      <c r="K3557" s="500">
        <f>(F3557*I3557)</f>
        <v>1672</v>
      </c>
      <c r="O3557" s="296" t="s">
        <v>1142</v>
      </c>
      <c r="Q3557" s="296"/>
      <c r="S3557" s="512">
        <v>6</v>
      </c>
      <c r="T3557" s="512" t="s">
        <v>769</v>
      </c>
      <c r="U3557" s="512" t="s">
        <v>3637</v>
      </c>
      <c r="V3557" s="512">
        <f t="shared" si="347"/>
        <v>89.6</v>
      </c>
      <c r="W3557" s="520" t="s">
        <v>769</v>
      </c>
      <c r="X3557" s="512">
        <f t="shared" si="344"/>
        <v>537.6</v>
      </c>
      <c r="AB3557" s="512">
        <v>4</v>
      </c>
      <c r="AC3557" s="512" t="s">
        <v>769</v>
      </c>
      <c r="AD3557" s="512" t="s">
        <v>3637</v>
      </c>
      <c r="AE3557" s="512">
        <f t="shared" si="345"/>
        <v>89.6</v>
      </c>
      <c r="AF3557" s="512" t="s">
        <v>769</v>
      </c>
      <c r="AG3557" s="512">
        <f t="shared" si="346"/>
        <v>358.4</v>
      </c>
    </row>
    <row r="3558" spans="6:33" ht="20.25" customHeight="1">
      <c r="H3558" s="296"/>
      <c r="O3558" s="296" t="s">
        <v>1143</v>
      </c>
      <c r="Q3558" s="296"/>
      <c r="S3558" s="512">
        <v>4</v>
      </c>
      <c r="T3558" s="512" t="s">
        <v>769</v>
      </c>
      <c r="U3558" s="512" t="s">
        <v>3638</v>
      </c>
      <c r="V3558" s="512">
        <f t="shared" si="347"/>
        <v>64.8</v>
      </c>
      <c r="W3558" s="520" t="s">
        <v>769</v>
      </c>
      <c r="X3558" s="512">
        <f t="shared" si="344"/>
        <v>259.2</v>
      </c>
      <c r="AB3558" s="512">
        <v>2</v>
      </c>
      <c r="AC3558" s="512" t="s">
        <v>769</v>
      </c>
      <c r="AD3558" s="512" t="s">
        <v>3638</v>
      </c>
      <c r="AE3558" s="512">
        <f t="shared" si="345"/>
        <v>64.8</v>
      </c>
      <c r="AF3558" s="512" t="s">
        <v>769</v>
      </c>
      <c r="AG3558" s="512">
        <f t="shared" si="346"/>
        <v>129.6</v>
      </c>
    </row>
    <row r="3559" spans="6:33" ht="20.25" customHeight="1">
      <c r="H3559" s="296"/>
      <c r="J3559" s="253"/>
      <c r="O3559" s="358" t="s">
        <v>1586</v>
      </c>
      <c r="Q3559" s="296"/>
      <c r="S3559" s="512">
        <v>1</v>
      </c>
      <c r="T3559" s="512" t="s">
        <v>769</v>
      </c>
      <c r="U3559" s="512" t="s">
        <v>2455</v>
      </c>
      <c r="V3559" s="512">
        <f t="shared" si="347"/>
        <v>181</v>
      </c>
      <c r="W3559" s="520" t="s">
        <v>769</v>
      </c>
      <c r="X3559" s="512">
        <f t="shared" si="344"/>
        <v>181</v>
      </c>
      <c r="AB3559" s="512">
        <v>1</v>
      </c>
      <c r="AC3559" s="512" t="s">
        <v>769</v>
      </c>
      <c r="AD3559" s="512" t="s">
        <v>2455</v>
      </c>
      <c r="AE3559" s="512">
        <f t="shared" si="345"/>
        <v>181</v>
      </c>
      <c r="AF3559" s="512" t="s">
        <v>769</v>
      </c>
      <c r="AG3559" s="512">
        <f t="shared" si="346"/>
        <v>181</v>
      </c>
    </row>
    <row r="3560" spans="6:33" ht="20.25" customHeight="1">
      <c r="F3560" s="500">
        <v>1</v>
      </c>
      <c r="G3560" s="500" t="s">
        <v>868</v>
      </c>
      <c r="H3560" s="296" t="s">
        <v>2132</v>
      </c>
      <c r="I3560" s="524">
        <f>I1939</f>
        <v>-169</v>
      </c>
      <c r="J3560" s="296" t="s">
        <v>868</v>
      </c>
      <c r="K3560" s="500">
        <f>(F3560*I3560)</f>
        <v>-169</v>
      </c>
      <c r="M3560" s="500">
        <v>1</v>
      </c>
      <c r="N3560" s="500" t="s">
        <v>868</v>
      </c>
      <c r="O3560" s="389" t="s">
        <v>4601</v>
      </c>
      <c r="P3560" s="501">
        <v>1672</v>
      </c>
      <c r="Q3560" s="312" t="s">
        <v>868</v>
      </c>
      <c r="R3560" s="500">
        <f>(M3560*P3560)</f>
        <v>1672</v>
      </c>
      <c r="S3560" s="512">
        <v>118</v>
      </c>
      <c r="T3560" s="512" t="s">
        <v>769</v>
      </c>
      <c r="U3560" s="512" t="s">
        <v>3639</v>
      </c>
      <c r="V3560" s="512">
        <f t="shared" si="347"/>
        <v>2.41</v>
      </c>
      <c r="W3560" s="520" t="s">
        <v>769</v>
      </c>
      <c r="X3560" s="512">
        <f t="shared" si="344"/>
        <v>284.38</v>
      </c>
      <c r="AB3560" s="512">
        <v>92</v>
      </c>
      <c r="AC3560" s="512" t="s">
        <v>769</v>
      </c>
      <c r="AD3560" s="512" t="s">
        <v>3639</v>
      </c>
      <c r="AE3560" s="512">
        <f t="shared" si="345"/>
        <v>2.41</v>
      </c>
      <c r="AF3560" s="512" t="s">
        <v>769</v>
      </c>
      <c r="AG3560" s="512">
        <f t="shared" si="346"/>
        <v>221.72</v>
      </c>
    </row>
    <row r="3561" spans="6:33" ht="20.25" customHeight="1">
      <c r="H3561" s="296"/>
      <c r="J3561" s="253"/>
      <c r="O3561" s="296"/>
      <c r="Q3561" s="296"/>
      <c r="S3561" s="512">
        <v>2</v>
      </c>
      <c r="T3561" s="512" t="s">
        <v>769</v>
      </c>
      <c r="U3561" s="512" t="s">
        <v>3640</v>
      </c>
      <c r="V3561" s="512">
        <f t="shared" si="347"/>
        <v>23.1</v>
      </c>
      <c r="W3561" s="520" t="s">
        <v>769</v>
      </c>
      <c r="X3561" s="512">
        <f t="shared" si="344"/>
        <v>46.2</v>
      </c>
      <c r="AB3561" s="512">
        <v>1</v>
      </c>
      <c r="AC3561" s="512" t="s">
        <v>769</v>
      </c>
      <c r="AD3561" s="512" t="s">
        <v>3640</v>
      </c>
      <c r="AE3561" s="512">
        <f t="shared" si="345"/>
        <v>23.1</v>
      </c>
      <c r="AF3561" s="512" t="s">
        <v>769</v>
      </c>
      <c r="AG3561" s="512">
        <f t="shared" si="346"/>
        <v>23.1</v>
      </c>
    </row>
    <row r="3562" spans="6:33" ht="20.25" customHeight="1">
      <c r="F3562" s="252">
        <v>1</v>
      </c>
      <c r="G3562" s="252" t="s">
        <v>868</v>
      </c>
      <c r="H3562" s="296" t="s">
        <v>2133</v>
      </c>
      <c r="I3562" s="601">
        <v>250</v>
      </c>
      <c r="J3562" s="296" t="s">
        <v>868</v>
      </c>
      <c r="K3562" s="602">
        <f>(F3562*I3562)</f>
        <v>250</v>
      </c>
      <c r="O3562" s="296"/>
      <c r="Q3562" s="253"/>
      <c r="S3562" s="512">
        <v>2</v>
      </c>
      <c r="T3562" s="512" t="s">
        <v>769</v>
      </c>
      <c r="U3562" s="512" t="s">
        <v>3641</v>
      </c>
      <c r="V3562" s="512">
        <f t="shared" si="347"/>
        <v>49.55</v>
      </c>
      <c r="W3562" s="520" t="s">
        <v>769</v>
      </c>
      <c r="X3562" s="512">
        <f t="shared" si="344"/>
        <v>99.1</v>
      </c>
      <c r="AB3562" s="512">
        <v>1</v>
      </c>
      <c r="AC3562" s="512" t="s">
        <v>769</v>
      </c>
      <c r="AD3562" s="512" t="s">
        <v>3641</v>
      </c>
      <c r="AE3562" s="512">
        <f t="shared" si="345"/>
        <v>49.55</v>
      </c>
      <c r="AF3562" s="512" t="s">
        <v>769</v>
      </c>
      <c r="AG3562" s="512">
        <f t="shared" si="346"/>
        <v>49.55</v>
      </c>
    </row>
    <row r="3563" spans="6:33" ht="20.25" customHeight="1">
      <c r="H3563" s="296"/>
      <c r="M3563" s="500">
        <v>1</v>
      </c>
      <c r="N3563" s="500" t="s">
        <v>868</v>
      </c>
      <c r="O3563" s="296" t="s">
        <v>2132</v>
      </c>
      <c r="P3563" s="524">
        <f>I3560</f>
        <v>-169</v>
      </c>
      <c r="Q3563" s="296" t="s">
        <v>868</v>
      </c>
      <c r="R3563" s="500">
        <f>(M3563*P3563)</f>
        <v>-169</v>
      </c>
      <c r="S3563" s="599">
        <v>0.65</v>
      </c>
      <c r="T3563" s="598" t="s">
        <v>609</v>
      </c>
      <c r="U3563" s="598" t="s">
        <v>3760</v>
      </c>
      <c r="V3563" s="512">
        <f t="shared" si="347"/>
        <v>233.74</v>
      </c>
      <c r="W3563" s="600" t="s">
        <v>609</v>
      </c>
      <c r="X3563" s="598"/>
      <c r="AB3563" s="599">
        <v>0.39</v>
      </c>
      <c r="AC3563" s="598" t="s">
        <v>609</v>
      </c>
      <c r="AD3563" s="598" t="s">
        <v>3760</v>
      </c>
      <c r="AE3563" s="512">
        <f t="shared" si="345"/>
        <v>233.74</v>
      </c>
      <c r="AF3563" s="598" t="s">
        <v>609</v>
      </c>
      <c r="AG3563" s="598"/>
    </row>
    <row r="3564" spans="6:33" ht="20.25" customHeight="1">
      <c r="F3564" s="252">
        <v>0.5</v>
      </c>
      <c r="G3564" s="252" t="s">
        <v>868</v>
      </c>
      <c r="H3564" s="296" t="s">
        <v>2103</v>
      </c>
      <c r="I3564" s="252">
        <f>I1943</f>
        <v>866</v>
      </c>
      <c r="J3564" s="296" t="s">
        <v>868</v>
      </c>
      <c r="K3564" s="252">
        <f>(F3564*I3564)</f>
        <v>433</v>
      </c>
      <c r="O3564" s="296"/>
      <c r="Q3564" s="253"/>
      <c r="S3564" s="512"/>
      <c r="T3564" s="512"/>
      <c r="U3564" s="512" t="s">
        <v>3767</v>
      </c>
      <c r="V3564" s="512"/>
      <c r="W3564" s="520"/>
      <c r="X3564" s="512">
        <f>SUM(X3554:X3563)</f>
        <v>8042.28</v>
      </c>
      <c r="AB3564" s="512"/>
      <c r="AC3564" s="512"/>
      <c r="AD3564" s="512" t="s">
        <v>4636</v>
      </c>
      <c r="AE3564" s="512"/>
      <c r="AF3564" s="513"/>
      <c r="AG3564" s="512">
        <f>SUM(AG3554:AG3563)</f>
        <v>5272.97</v>
      </c>
    </row>
    <row r="3565" spans="6:33" ht="20.25" customHeight="1">
      <c r="F3565" s="252">
        <v>1</v>
      </c>
      <c r="G3565" s="252" t="s">
        <v>868</v>
      </c>
      <c r="H3565" s="296" t="s">
        <v>1902</v>
      </c>
      <c r="I3565" s="252">
        <f>I1944</f>
        <v>651</v>
      </c>
      <c r="J3565" s="296" t="s">
        <v>868</v>
      </c>
      <c r="K3565" s="252">
        <f>(F3565*I3565)</f>
        <v>651</v>
      </c>
      <c r="M3565" s="252">
        <v>1</v>
      </c>
      <c r="N3565" s="252" t="s">
        <v>868</v>
      </c>
      <c r="O3565" s="296" t="s">
        <v>2133</v>
      </c>
      <c r="P3565" s="601">
        <v>250</v>
      </c>
      <c r="Q3565" s="296" t="s">
        <v>868</v>
      </c>
      <c r="R3565" s="602">
        <f>(M3565*P3565)</f>
        <v>250</v>
      </c>
      <c r="S3565" s="512"/>
      <c r="T3565" s="512"/>
      <c r="U3565" s="512" t="s">
        <v>3225</v>
      </c>
      <c r="V3565" s="512"/>
      <c r="W3565" s="520"/>
      <c r="X3565" s="512">
        <f>X3564/S3555</f>
        <v>2831.79</v>
      </c>
      <c r="AB3565" s="512"/>
      <c r="AC3565" s="512"/>
      <c r="AD3565" s="512" t="s">
        <v>3225</v>
      </c>
      <c r="AE3565" s="512"/>
      <c r="AF3565" s="513"/>
      <c r="AG3565" s="512">
        <f>AG3564/AB3555</f>
        <v>2834.93</v>
      </c>
    </row>
    <row r="3566" spans="6:33" ht="20.25" customHeight="1">
      <c r="F3566" s="252">
        <v>0.5</v>
      </c>
      <c r="G3566" s="252" t="s">
        <v>868</v>
      </c>
      <c r="H3566" s="296" t="s">
        <v>2009</v>
      </c>
      <c r="I3566" s="252">
        <f>I1945</f>
        <v>999</v>
      </c>
      <c r="J3566" s="296" t="s">
        <v>868</v>
      </c>
      <c r="K3566" s="252">
        <f>(F3566*I3566)</f>
        <v>499.5</v>
      </c>
      <c r="O3566" s="296"/>
      <c r="Q3566" s="296"/>
      <c r="W3566" s="253"/>
    </row>
    <row r="3567" spans="6:33" ht="20.25"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0.25" customHeight="1">
      <c r="K3568" s="358" t="s">
        <v>1586</v>
      </c>
      <c r="M3568" s="252">
        <v>1</v>
      </c>
      <c r="N3568" s="252" t="s">
        <v>868</v>
      </c>
      <c r="O3568" s="296" t="s">
        <v>1902</v>
      </c>
      <c r="P3568" s="252">
        <f>I3565</f>
        <v>651</v>
      </c>
      <c r="Q3568" s="296" t="s">
        <v>868</v>
      </c>
      <c r="R3568" s="252">
        <f>(M3568*P3568)</f>
        <v>651</v>
      </c>
      <c r="S3568" s="512"/>
      <c r="T3568" s="512"/>
      <c r="U3568" s="512" t="s">
        <v>3764</v>
      </c>
      <c r="V3568" s="512"/>
      <c r="W3568" s="520"/>
    </row>
    <row r="3569" spans="1:119" ht="20.25" customHeight="1">
      <c r="H3569" s="296" t="s">
        <v>1751</v>
      </c>
      <c r="K3569" s="274">
        <f>SUM(K3557:K3567)</f>
        <v>3337.32</v>
      </c>
      <c r="M3569" s="252">
        <v>0.5</v>
      </c>
      <c r="N3569" s="252" t="s">
        <v>868</v>
      </c>
      <c r="O3569" s="296" t="s">
        <v>2009</v>
      </c>
      <c r="P3569" s="252">
        <f>I3566</f>
        <v>999</v>
      </c>
      <c r="Q3569" s="296" t="s">
        <v>868</v>
      </c>
      <c r="R3569" s="252">
        <f>(M3569*P3569)</f>
        <v>499.5</v>
      </c>
      <c r="S3569" s="252"/>
      <c r="U3569" s="512" t="s">
        <v>3765</v>
      </c>
      <c r="V3569" s="252">
        <f>1.4*2.325</f>
        <v>3.26</v>
      </c>
      <c r="W3569" s="253"/>
    </row>
    <row r="3570" spans="1:119" ht="20.25" customHeight="1">
      <c r="K3570" s="358" t="s">
        <v>1586</v>
      </c>
      <c r="N3570" s="252" t="s">
        <v>449</v>
      </c>
      <c r="O3570" s="296" t="s">
        <v>1144</v>
      </c>
      <c r="Q3570" s="296" t="s">
        <v>449</v>
      </c>
      <c r="R3570" s="252">
        <v>0.82</v>
      </c>
      <c r="S3570" s="512">
        <f>V3569</f>
        <v>3.26</v>
      </c>
      <c r="T3570" s="512" t="s">
        <v>609</v>
      </c>
      <c r="U3570" s="512" t="s">
        <v>3634</v>
      </c>
      <c r="V3570" s="512">
        <f>V3554</f>
        <v>2255</v>
      </c>
      <c r="W3570" s="520" t="s">
        <v>609</v>
      </c>
      <c r="X3570" s="512">
        <f>V3570*S3570</f>
        <v>7351.3</v>
      </c>
    </row>
    <row r="3571" spans="1:119" ht="20.25" customHeight="1">
      <c r="I3571" s="356"/>
      <c r="J3571" s="252"/>
      <c r="Q3571" s="296"/>
      <c r="R3571" s="358" t="s">
        <v>1586</v>
      </c>
      <c r="S3571" s="512">
        <f>V3569</f>
        <v>3.26</v>
      </c>
      <c r="T3571" s="512" t="s">
        <v>609</v>
      </c>
      <c r="U3571" s="512" t="s">
        <v>3635</v>
      </c>
      <c r="V3571" s="512">
        <f t="shared" ref="V3571:V3579" si="348">V3555</f>
        <v>0</v>
      </c>
      <c r="W3571" s="520" t="s">
        <v>609</v>
      </c>
      <c r="X3571" s="512">
        <f t="shared" ref="X3571:X3578" si="349">V3571*S3571</f>
        <v>0</v>
      </c>
    </row>
    <row r="3572" spans="1:119" ht="20.25" customHeight="1">
      <c r="H3572" s="603" t="s">
        <v>3728</v>
      </c>
      <c r="I3572" s="356"/>
      <c r="J3572" s="252"/>
      <c r="O3572" s="296" t="s">
        <v>1751</v>
      </c>
      <c r="Q3572" s="296"/>
      <c r="R3572" s="274">
        <f>SUM(R3560:R3570)</f>
        <v>3337.32</v>
      </c>
      <c r="S3572" s="512">
        <v>4</v>
      </c>
      <c r="T3572" s="512" t="s">
        <v>769</v>
      </c>
      <c r="U3572" s="512" t="s">
        <v>3636</v>
      </c>
      <c r="V3572" s="512">
        <f t="shared" si="348"/>
        <v>57.65</v>
      </c>
      <c r="W3572" s="520" t="s">
        <v>769</v>
      </c>
      <c r="X3572" s="512">
        <f t="shared" si="349"/>
        <v>230.6</v>
      </c>
    </row>
    <row r="3573" spans="1:119" ht="20.25" customHeight="1">
      <c r="F3573" s="252">
        <v>70</v>
      </c>
      <c r="G3573" s="252" t="s">
        <v>826</v>
      </c>
      <c r="H3573" s="422" t="s">
        <v>4027</v>
      </c>
      <c r="I3573" s="252">
        <f>P1353</f>
        <v>33</v>
      </c>
      <c r="J3573" s="296" t="s">
        <v>2365</v>
      </c>
      <c r="K3573" s="252">
        <f>I3573*F3573</f>
        <v>2310</v>
      </c>
      <c r="Q3573" s="296"/>
      <c r="R3573" s="358" t="s">
        <v>1586</v>
      </c>
      <c r="S3573" s="512">
        <v>6</v>
      </c>
      <c r="T3573" s="512" t="s">
        <v>769</v>
      </c>
      <c r="U3573" s="512" t="s">
        <v>3637</v>
      </c>
      <c r="V3573" s="512">
        <f t="shared" si="348"/>
        <v>89.6</v>
      </c>
      <c r="W3573" s="520" t="s">
        <v>769</v>
      </c>
      <c r="X3573" s="512">
        <f t="shared" si="349"/>
        <v>537.6</v>
      </c>
    </row>
    <row r="3574" spans="1:119" ht="20.25" customHeight="1">
      <c r="F3574" s="252">
        <v>0.3</v>
      </c>
      <c r="G3574" s="252" t="s">
        <v>1341</v>
      </c>
      <c r="H3574" s="422" t="s">
        <v>4028</v>
      </c>
      <c r="I3574" s="252">
        <f>P1355</f>
        <v>17600</v>
      </c>
      <c r="J3574" s="296" t="s">
        <v>3692</v>
      </c>
      <c r="K3574" s="252">
        <f>I3574*F3574</f>
        <v>5280</v>
      </c>
      <c r="S3574" s="512">
        <v>4</v>
      </c>
      <c r="T3574" s="512" t="s">
        <v>769</v>
      </c>
      <c r="U3574" s="512" t="s">
        <v>3638</v>
      </c>
      <c r="V3574" s="512">
        <f t="shared" si="348"/>
        <v>64.8</v>
      </c>
      <c r="W3574" s="520" t="s">
        <v>769</v>
      </c>
      <c r="X3574" s="512">
        <f t="shared" si="349"/>
        <v>259.2</v>
      </c>
    </row>
    <row r="3575" spans="1:119" ht="20.25" customHeight="1">
      <c r="H3575" s="252" t="s">
        <v>3709</v>
      </c>
      <c r="K3575" s="252">
        <f>SUM(K3573:K3574)</f>
        <v>7590</v>
      </c>
      <c r="S3575" s="512">
        <v>1</v>
      </c>
      <c r="T3575" s="512" t="s">
        <v>769</v>
      </c>
      <c r="U3575" s="512" t="s">
        <v>2455</v>
      </c>
      <c r="V3575" s="512">
        <f t="shared" si="348"/>
        <v>181</v>
      </c>
      <c r="W3575" s="520" t="s">
        <v>769</v>
      </c>
      <c r="X3575" s="512">
        <f t="shared" si="349"/>
        <v>181</v>
      </c>
    </row>
    <row r="3576" spans="1:119" ht="20.25" customHeight="1">
      <c r="H3576" s="274" t="s">
        <v>3710</v>
      </c>
      <c r="I3576" s="274"/>
      <c r="J3576" s="276"/>
      <c r="K3576" s="274">
        <f>K3575/10</f>
        <v>759</v>
      </c>
      <c r="S3576" s="512">
        <v>118</v>
      </c>
      <c r="T3576" s="512" t="s">
        <v>769</v>
      </c>
      <c r="U3576" s="512" t="s">
        <v>3639</v>
      </c>
      <c r="V3576" s="512">
        <f t="shared" si="348"/>
        <v>2.41</v>
      </c>
      <c r="W3576" s="520" t="s">
        <v>769</v>
      </c>
      <c r="X3576" s="512">
        <f t="shared" si="349"/>
        <v>284.38</v>
      </c>
    </row>
    <row r="3577" spans="1:119" ht="20.25" customHeight="1">
      <c r="F3577" s="252">
        <v>1</v>
      </c>
      <c r="G3577" s="252" t="s">
        <v>3711</v>
      </c>
      <c r="H3577" s="252" t="s">
        <v>3712</v>
      </c>
      <c r="I3577" s="252">
        <f>K3576</f>
        <v>759</v>
      </c>
      <c r="J3577" s="296" t="s">
        <v>3711</v>
      </c>
      <c r="K3577" s="252">
        <f>I3577*F3577</f>
        <v>759</v>
      </c>
      <c r="S3577" s="512">
        <v>2</v>
      </c>
      <c r="T3577" s="512" t="s">
        <v>769</v>
      </c>
      <c r="U3577" s="512" t="s">
        <v>3640</v>
      </c>
      <c r="V3577" s="512">
        <f t="shared" si="348"/>
        <v>23.1</v>
      </c>
      <c r="W3577" s="520" t="s">
        <v>769</v>
      </c>
      <c r="X3577" s="512">
        <f t="shared" si="349"/>
        <v>46.2</v>
      </c>
    </row>
    <row r="3578" spans="1:119" ht="20.25" customHeight="1">
      <c r="F3578" s="252">
        <v>2</v>
      </c>
      <c r="G3578" s="252" t="s">
        <v>1432</v>
      </c>
      <c r="H3578" s="422" t="s">
        <v>144</v>
      </c>
      <c r="I3578" s="252">
        <f>I2349</f>
        <v>651</v>
      </c>
      <c r="J3578" s="296" t="s">
        <v>1398</v>
      </c>
      <c r="K3578" s="252">
        <f>I3578*F3578</f>
        <v>1302</v>
      </c>
      <c r="S3578" s="512">
        <v>2</v>
      </c>
      <c r="T3578" s="512" t="s">
        <v>769</v>
      </c>
      <c r="U3578" s="512" t="s">
        <v>3641</v>
      </c>
      <c r="V3578" s="512">
        <f t="shared" si="348"/>
        <v>49.55</v>
      </c>
      <c r="W3578" s="520" t="s">
        <v>769</v>
      </c>
      <c r="X3578" s="512">
        <f t="shared" si="349"/>
        <v>99.1</v>
      </c>
    </row>
    <row r="3579" spans="1:119" ht="20.25" customHeight="1">
      <c r="H3579" s="252" t="s">
        <v>3713</v>
      </c>
      <c r="K3579" s="252">
        <v>10.3</v>
      </c>
      <c r="S3579" s="599">
        <v>0.73</v>
      </c>
      <c r="T3579" s="598" t="s">
        <v>609</v>
      </c>
      <c r="U3579" s="598" t="s">
        <v>3760</v>
      </c>
      <c r="V3579" s="512">
        <f t="shared" si="348"/>
        <v>233.74</v>
      </c>
      <c r="W3579" s="600" t="s">
        <v>609</v>
      </c>
      <c r="X3579" s="598"/>
    </row>
    <row r="3580" spans="1:119" ht="20.25" customHeight="1">
      <c r="H3580" s="252" t="s">
        <v>3715</v>
      </c>
      <c r="K3580" s="252">
        <f>SUM(K3577:K3579)</f>
        <v>2071.3000000000002</v>
      </c>
      <c r="S3580" s="512"/>
      <c r="T3580" s="512"/>
      <c r="U3580" s="512" t="s">
        <v>3753</v>
      </c>
      <c r="V3580" s="512"/>
      <c r="W3580" s="520"/>
      <c r="X3580" s="512">
        <f>SUM(X3570:X3579)</f>
        <v>8989.3799999999992</v>
      </c>
    </row>
    <row r="3581" spans="1:119" ht="20.25"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12"/>
      <c r="T3581" s="512"/>
      <c r="U3581" s="512" t="s">
        <v>3225</v>
      </c>
      <c r="V3581" s="512"/>
      <c r="W3581" s="520"/>
      <c r="X3581" s="512">
        <f>X3580/S3571</f>
        <v>2757.48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20.25"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20.25" customHeight="1">
      <c r="F3583" s="252">
        <v>49</v>
      </c>
      <c r="G3583" s="252" t="s">
        <v>3440</v>
      </c>
      <c r="H3583" s="252" t="s">
        <v>3717</v>
      </c>
      <c r="I3583" s="252">
        <f>I3573</f>
        <v>33</v>
      </c>
      <c r="J3583" s="296" t="s">
        <v>2365</v>
      </c>
      <c r="K3583" s="252">
        <f>F3583*I3583</f>
        <v>1617</v>
      </c>
      <c r="S3583" s="512"/>
      <c r="T3583" s="512"/>
      <c r="U3583" s="512" t="s">
        <v>4083</v>
      </c>
      <c r="V3583" s="512"/>
      <c r="W3583" s="520"/>
    </row>
    <row r="3584" spans="1:119" ht="20.25" customHeight="1">
      <c r="F3584" s="252">
        <v>0.3</v>
      </c>
      <c r="G3584" s="252" t="s">
        <v>1341</v>
      </c>
      <c r="H3584" s="252" t="s">
        <v>3718</v>
      </c>
      <c r="I3584" s="252">
        <f>I3574</f>
        <v>17600</v>
      </c>
      <c r="J3584" s="296" t="s">
        <v>1341</v>
      </c>
      <c r="K3584" s="252">
        <f>F3584*I3584</f>
        <v>5280</v>
      </c>
      <c r="S3584" s="252"/>
      <c r="U3584" s="471" t="s">
        <v>4084</v>
      </c>
      <c r="V3584" s="512">
        <f>1.7*2.325</f>
        <v>3.95</v>
      </c>
      <c r="W3584" s="253"/>
    </row>
    <row r="3585" spans="1:119" ht="20.25" customHeight="1">
      <c r="H3585" s="274" t="s">
        <v>3719</v>
      </c>
      <c r="K3585" s="274">
        <f>SUM(K3583:K3584)</f>
        <v>6897</v>
      </c>
      <c r="S3585" s="512">
        <f>V3584</f>
        <v>3.95</v>
      </c>
      <c r="T3585" s="512" t="s">
        <v>609</v>
      </c>
      <c r="U3585" s="512" t="s">
        <v>3634</v>
      </c>
      <c r="V3585" s="512">
        <f>V3570</f>
        <v>2255</v>
      </c>
      <c r="W3585" s="520" t="s">
        <v>609</v>
      </c>
      <c r="X3585" s="512">
        <f>V3585*S3585</f>
        <v>8907.25</v>
      </c>
    </row>
    <row r="3586" spans="1:119" ht="20.25" customHeight="1">
      <c r="H3586" s="274" t="s">
        <v>3710</v>
      </c>
      <c r="K3586" s="274">
        <f>K3585/10</f>
        <v>689.7</v>
      </c>
      <c r="S3586" s="512">
        <f>S3585</f>
        <v>3.95</v>
      </c>
      <c r="T3586" s="512" t="s">
        <v>609</v>
      </c>
      <c r="U3586" s="512" t="s">
        <v>3635</v>
      </c>
      <c r="V3586" s="512">
        <f t="shared" ref="V3586:V3593" si="350">V3571</f>
        <v>0</v>
      </c>
      <c r="W3586" s="520" t="s">
        <v>609</v>
      </c>
      <c r="X3586" s="512">
        <f t="shared" ref="X3586:X3593" si="351">V3586*S3586</f>
        <v>0</v>
      </c>
    </row>
    <row r="3587" spans="1:119" ht="20.25" customHeight="1">
      <c r="F3587" s="252">
        <v>2</v>
      </c>
      <c r="G3587" s="252" t="s">
        <v>258</v>
      </c>
      <c r="H3587" s="252" t="s">
        <v>144</v>
      </c>
      <c r="I3587" s="252">
        <f>I3578</f>
        <v>651</v>
      </c>
      <c r="J3587" s="296" t="s">
        <v>258</v>
      </c>
      <c r="K3587" s="252">
        <f>F3587*I3587</f>
        <v>1302</v>
      </c>
      <c r="S3587" s="512">
        <v>4</v>
      </c>
      <c r="T3587" s="512" t="s">
        <v>769</v>
      </c>
      <c r="U3587" s="512" t="s">
        <v>3636</v>
      </c>
      <c r="V3587" s="512">
        <f t="shared" si="350"/>
        <v>57.65</v>
      </c>
      <c r="W3587" s="520" t="s">
        <v>769</v>
      </c>
      <c r="X3587" s="512">
        <f t="shared" si="351"/>
        <v>230.6</v>
      </c>
    </row>
    <row r="3588" spans="1:119" ht="20.25" customHeight="1">
      <c r="H3588" s="252" t="s">
        <v>3720</v>
      </c>
      <c r="K3588" s="252">
        <v>4.3499999999999996</v>
      </c>
      <c r="S3588" s="512">
        <v>8</v>
      </c>
      <c r="T3588" s="512" t="s">
        <v>769</v>
      </c>
      <c r="U3588" s="512" t="s">
        <v>3637</v>
      </c>
      <c r="V3588" s="512">
        <f t="shared" si="350"/>
        <v>89.6</v>
      </c>
      <c r="W3588" s="520" t="s">
        <v>769</v>
      </c>
      <c r="X3588" s="512">
        <f t="shared" si="351"/>
        <v>716.8</v>
      </c>
    </row>
    <row r="3589" spans="1:119" ht="20.25" customHeight="1">
      <c r="H3589" s="252" t="s">
        <v>3721</v>
      </c>
      <c r="K3589" s="252">
        <f>SUM(K3586:K3588)</f>
        <v>1996.05</v>
      </c>
      <c r="S3589" s="512">
        <v>4</v>
      </c>
      <c r="T3589" s="512" t="s">
        <v>769</v>
      </c>
      <c r="U3589" s="512" t="s">
        <v>3638</v>
      </c>
      <c r="V3589" s="512">
        <f t="shared" si="350"/>
        <v>64.8</v>
      </c>
      <c r="W3589" s="520" t="s">
        <v>769</v>
      </c>
      <c r="X3589" s="512">
        <f t="shared" si="351"/>
        <v>259.2</v>
      </c>
    </row>
    <row r="3590" spans="1:119" ht="20.25" customHeight="1">
      <c r="H3590" s="274" t="s">
        <v>3722</v>
      </c>
      <c r="I3590" s="274"/>
      <c r="J3590" s="276"/>
      <c r="K3590" s="274">
        <f>K3589/6</f>
        <v>332.68</v>
      </c>
      <c r="S3590" s="512">
        <v>1</v>
      </c>
      <c r="T3590" s="512" t="s">
        <v>769</v>
      </c>
      <c r="U3590" s="512" t="s">
        <v>2455</v>
      </c>
      <c r="V3590" s="512">
        <f t="shared" si="350"/>
        <v>181</v>
      </c>
      <c r="W3590" s="520" t="s">
        <v>769</v>
      </c>
      <c r="X3590" s="512">
        <f t="shared" si="351"/>
        <v>181</v>
      </c>
    </row>
    <row r="3591" spans="1:119" ht="20.25"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12">
        <v>118</v>
      </c>
      <c r="T3591" s="512" t="s">
        <v>769</v>
      </c>
      <c r="U3591" s="512" t="s">
        <v>3639</v>
      </c>
      <c r="V3591" s="512">
        <f t="shared" si="350"/>
        <v>2.41</v>
      </c>
      <c r="W3591" s="520" t="s">
        <v>769</v>
      </c>
      <c r="X3591" s="51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20.25" customHeight="1">
      <c r="H3592" s="252" t="s">
        <v>3724</v>
      </c>
      <c r="I3592" s="252">
        <f>K3591</f>
        <v>345.22</v>
      </c>
      <c r="J3592" s="296">
        <f>K3590</f>
        <v>332.68</v>
      </c>
      <c r="K3592" s="252">
        <f>SUM(I3592:J3592)</f>
        <v>677.9</v>
      </c>
      <c r="S3592" s="512">
        <v>2</v>
      </c>
      <c r="T3592" s="512" t="s">
        <v>769</v>
      </c>
      <c r="U3592" s="512" t="s">
        <v>3640</v>
      </c>
      <c r="V3592" s="512">
        <f t="shared" si="350"/>
        <v>23.1</v>
      </c>
      <c r="W3592" s="520" t="s">
        <v>769</v>
      </c>
      <c r="X3592" s="512">
        <f t="shared" si="351"/>
        <v>46.2</v>
      </c>
      <c r="Y3592" s="252"/>
    </row>
    <row r="3593" spans="1:119" s="274" customFormat="1" ht="20.25" customHeight="1">
      <c r="H3593" s="252" t="s">
        <v>3725</v>
      </c>
      <c r="I3593" s="252">
        <f>K3592</f>
        <v>677.9</v>
      </c>
      <c r="J3593" s="296">
        <f>J3592</f>
        <v>332.68</v>
      </c>
      <c r="K3593" s="252">
        <f>SUM(I3593:J3593)</f>
        <v>1010.58</v>
      </c>
      <c r="S3593" s="512">
        <v>2</v>
      </c>
      <c r="T3593" s="512" t="s">
        <v>769</v>
      </c>
      <c r="U3593" s="512" t="s">
        <v>3641</v>
      </c>
      <c r="V3593" s="512">
        <f t="shared" si="350"/>
        <v>49.55</v>
      </c>
      <c r="W3593" s="520" t="s">
        <v>769</v>
      </c>
      <c r="X3593" s="512">
        <f t="shared" si="351"/>
        <v>99.1</v>
      </c>
      <c r="Y3593" s="252"/>
    </row>
    <row r="3594" spans="1:119" s="274" customFormat="1" ht="20.25" customHeight="1">
      <c r="H3594" s="252" t="s">
        <v>3726</v>
      </c>
      <c r="I3594" s="252">
        <f>K3593</f>
        <v>1010.58</v>
      </c>
      <c r="J3594" s="296">
        <f>J3593</f>
        <v>332.68</v>
      </c>
      <c r="K3594" s="252">
        <f>SUM(I3594:J3594)</f>
        <v>1343.26</v>
      </c>
      <c r="S3594" s="516"/>
      <c r="T3594" s="512"/>
      <c r="U3594" s="512"/>
      <c r="V3594" s="512"/>
      <c r="W3594" s="520" t="s">
        <v>609</v>
      </c>
      <c r="X3594" s="512">
        <f>V3594*S3594</f>
        <v>0</v>
      </c>
      <c r="Y3594" s="252"/>
    </row>
    <row r="3595" spans="1:119" s="274" customFormat="1" ht="20.25" customHeight="1">
      <c r="H3595" s="252" t="s">
        <v>3727</v>
      </c>
      <c r="I3595" s="252">
        <f>K3594</f>
        <v>1343.26</v>
      </c>
      <c r="J3595" s="296">
        <f>J3594</f>
        <v>332.68</v>
      </c>
      <c r="K3595" s="252">
        <f>SUM(I3595:J3595)</f>
        <v>1675.94</v>
      </c>
      <c r="S3595" s="512"/>
      <c r="T3595" s="512"/>
      <c r="U3595" s="512" t="s">
        <v>4085</v>
      </c>
      <c r="V3595" s="512"/>
      <c r="W3595" s="520"/>
      <c r="X3595" s="512">
        <f>SUM(X3585:X3594)</f>
        <v>10724.53</v>
      </c>
      <c r="Y3595" s="252"/>
    </row>
    <row r="3596" spans="1:119" s="274" customFormat="1" ht="20.25" customHeight="1">
      <c r="A3596" s="252"/>
      <c r="B3596" s="252"/>
      <c r="C3596" s="252"/>
      <c r="D3596" s="252"/>
      <c r="E3596" s="252"/>
      <c r="F3596" s="252"/>
      <c r="G3596" s="252"/>
      <c r="H3596" s="252"/>
      <c r="I3596" s="252"/>
      <c r="J3596" s="296"/>
      <c r="K3596" s="252"/>
      <c r="L3596" s="252"/>
      <c r="M3596" s="252"/>
      <c r="N3596" s="252"/>
      <c r="O3596" s="252"/>
      <c r="P3596" s="252"/>
      <c r="Q3596" s="252"/>
      <c r="R3596" s="252"/>
      <c r="S3596" s="512"/>
      <c r="T3596" s="512"/>
      <c r="U3596" s="512" t="s">
        <v>3225</v>
      </c>
      <c r="V3596" s="512"/>
      <c r="W3596" s="520"/>
      <c r="X3596" s="512">
        <f>X3595/S3586</f>
        <v>2715.07</v>
      </c>
      <c r="Y3596" s="252">
        <f>[4]Data!X3597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0.25" customHeight="1">
      <c r="F3597" s="253"/>
      <c r="G3597" s="252" t="s">
        <v>2251</v>
      </c>
      <c r="H3597" s="276" t="s">
        <v>3812</v>
      </c>
      <c r="L3597" s="296"/>
      <c r="S3597" s="252"/>
      <c r="U3597" s="512"/>
      <c r="W3597" s="253"/>
      <c r="X3597" s="512"/>
    </row>
    <row r="3598" spans="1:119" ht="20.25" customHeight="1">
      <c r="H3598" s="276" t="s">
        <v>3813</v>
      </c>
      <c r="L3598" s="296"/>
      <c r="W3598" s="253"/>
    </row>
    <row r="3599" spans="1:119" ht="20.25" customHeight="1">
      <c r="H3599" s="358" t="s">
        <v>1586</v>
      </c>
      <c r="L3599" s="296"/>
      <c r="W3599" s="253"/>
    </row>
    <row r="3600" spans="1:119" ht="20.25" customHeight="1">
      <c r="F3600" s="447">
        <v>7.0699999999999999E-2</v>
      </c>
      <c r="G3600" s="252" t="s">
        <v>1341</v>
      </c>
      <c r="H3600" s="296" t="s">
        <v>1342</v>
      </c>
      <c r="I3600" s="252">
        <f>I2814</f>
        <v>99400</v>
      </c>
      <c r="J3600" s="296" t="s">
        <v>869</v>
      </c>
      <c r="K3600" s="252">
        <f t="shared" ref="K3600:K3608" si="352">(F3600*I3600)</f>
        <v>7027.58</v>
      </c>
      <c r="L3600" s="296"/>
      <c r="S3600" s="512"/>
      <c r="T3600" s="512"/>
      <c r="U3600" s="512" t="s">
        <v>4086</v>
      </c>
      <c r="V3600" s="512"/>
      <c r="W3600" s="520"/>
    </row>
    <row r="3601" spans="6:29" ht="20.25" customHeight="1">
      <c r="F3601" s="447">
        <v>5.16</v>
      </c>
      <c r="G3601" s="252" t="s">
        <v>609</v>
      </c>
      <c r="H3601" s="296" t="s">
        <v>3814</v>
      </c>
      <c r="I3601" s="252">
        <f>AE57</f>
        <v>0</v>
      </c>
      <c r="J3601" s="296" t="s">
        <v>869</v>
      </c>
      <c r="K3601" s="252">
        <f t="shared" si="352"/>
        <v>0</v>
      </c>
      <c r="L3601" s="296"/>
      <c r="S3601" s="252"/>
      <c r="U3601" s="471" t="s">
        <v>4087</v>
      </c>
      <c r="V3601" s="512">
        <f>1.7*2.025</f>
        <v>3.44</v>
      </c>
      <c r="W3601" s="253"/>
    </row>
    <row r="3602" spans="6:29" ht="20.25" customHeight="1">
      <c r="F3602" s="447">
        <v>3.6659999999999999</v>
      </c>
      <c r="G3602" s="252" t="s">
        <v>609</v>
      </c>
      <c r="H3602" s="296" t="s">
        <v>3815</v>
      </c>
      <c r="I3602" s="252">
        <f>P1395</f>
        <v>306.89999999999998</v>
      </c>
      <c r="J3602" s="296" t="s">
        <v>609</v>
      </c>
      <c r="K3602" s="252">
        <f t="shared" si="352"/>
        <v>1125.0999999999999</v>
      </c>
      <c r="L3602" s="296"/>
      <c r="S3602" s="512">
        <f>V3601</f>
        <v>3.44</v>
      </c>
      <c r="T3602" s="512" t="s">
        <v>609</v>
      </c>
      <c r="U3602" s="512" t="s">
        <v>3634</v>
      </c>
      <c r="V3602" s="512">
        <f>V3585</f>
        <v>2255</v>
      </c>
      <c r="W3602" s="520" t="s">
        <v>609</v>
      </c>
      <c r="X3602" s="512">
        <f>V3602*S3602</f>
        <v>7757.2</v>
      </c>
    </row>
    <row r="3603" spans="6:29" ht="20.25" customHeight="1">
      <c r="F3603" s="252">
        <v>22.66</v>
      </c>
      <c r="G3603" s="252" t="s">
        <v>826</v>
      </c>
      <c r="H3603" s="296" t="s">
        <v>5893</v>
      </c>
      <c r="I3603" s="362">
        <v>15.45</v>
      </c>
      <c r="J3603" s="252" t="s">
        <v>826</v>
      </c>
      <c r="K3603" s="252">
        <f t="shared" si="352"/>
        <v>350.1</v>
      </c>
      <c r="L3603" s="296"/>
      <c r="S3603" s="512">
        <f>S3602</f>
        <v>3.44</v>
      </c>
      <c r="T3603" s="512" t="s">
        <v>609</v>
      </c>
      <c r="U3603" s="512" t="s">
        <v>3635</v>
      </c>
      <c r="V3603" s="512">
        <f t="shared" ref="V3603:V3610" si="353">V3586</f>
        <v>0</v>
      </c>
      <c r="W3603" s="520" t="s">
        <v>609</v>
      </c>
      <c r="X3603" s="512">
        <f t="shared" ref="X3603:X3610" si="354">V3603*S3603</f>
        <v>0</v>
      </c>
    </row>
    <row r="3604" spans="6:29" ht="20.25" customHeight="1">
      <c r="F3604" s="252">
        <v>15</v>
      </c>
      <c r="G3604" s="252" t="s">
        <v>868</v>
      </c>
      <c r="H3604" s="296" t="s">
        <v>1517</v>
      </c>
      <c r="I3604" s="252">
        <f>C279</f>
        <v>89.6</v>
      </c>
      <c r="J3604" s="296" t="s">
        <v>868</v>
      </c>
      <c r="K3604" s="252">
        <f>(F3603*I3604)</f>
        <v>2030.34</v>
      </c>
      <c r="L3604" s="296"/>
      <c r="S3604" s="512">
        <v>4</v>
      </c>
      <c r="T3604" s="512" t="s">
        <v>769</v>
      </c>
      <c r="U3604" s="512" t="s">
        <v>3636</v>
      </c>
      <c r="V3604" s="512">
        <f t="shared" si="353"/>
        <v>57.65</v>
      </c>
      <c r="W3604" s="520" t="s">
        <v>769</v>
      </c>
      <c r="X3604" s="512">
        <f t="shared" si="354"/>
        <v>230.6</v>
      </c>
    </row>
    <row r="3605" spans="6:29" ht="20.25" customHeight="1">
      <c r="F3605" s="252">
        <v>10</v>
      </c>
      <c r="G3605" s="252" t="s">
        <v>868</v>
      </c>
      <c r="H3605" s="296" t="s">
        <v>5894</v>
      </c>
      <c r="I3605" s="362">
        <v>82.25</v>
      </c>
      <c r="J3605" s="296" t="s">
        <v>868</v>
      </c>
      <c r="K3605" s="252">
        <f>(F3604*I3605)</f>
        <v>1233.75</v>
      </c>
      <c r="L3605" s="296"/>
      <c r="S3605" s="512">
        <v>6</v>
      </c>
      <c r="T3605" s="512" t="s">
        <v>769</v>
      </c>
      <c r="U3605" s="512" t="s">
        <v>3637</v>
      </c>
      <c r="V3605" s="512">
        <f t="shared" si="353"/>
        <v>89.6</v>
      </c>
      <c r="W3605" s="520" t="s">
        <v>769</v>
      </c>
      <c r="X3605" s="512">
        <f t="shared" si="354"/>
        <v>537.6</v>
      </c>
    </row>
    <row r="3606" spans="6:29" ht="20.25" customHeight="1">
      <c r="F3606" s="252">
        <v>5</v>
      </c>
      <c r="G3606" s="252" t="s">
        <v>868</v>
      </c>
      <c r="H3606" s="296" t="s">
        <v>3816</v>
      </c>
      <c r="I3606" s="362">
        <v>57.65</v>
      </c>
      <c r="J3606" s="296" t="s">
        <v>868</v>
      </c>
      <c r="K3606" s="252">
        <f>(F3607*I3606)</f>
        <v>288.25</v>
      </c>
      <c r="L3606" s="296"/>
      <c r="S3606" s="512">
        <v>4</v>
      </c>
      <c r="T3606" s="512" t="s">
        <v>769</v>
      </c>
      <c r="U3606" s="512" t="s">
        <v>3638</v>
      </c>
      <c r="V3606" s="512">
        <f t="shared" si="353"/>
        <v>64.8</v>
      </c>
      <c r="W3606" s="520" t="s">
        <v>769</v>
      </c>
      <c r="X3606" s="512">
        <f t="shared" si="354"/>
        <v>259.2</v>
      </c>
    </row>
    <row r="3607" spans="6:29" ht="20.25" customHeight="1">
      <c r="F3607" s="252">
        <v>5</v>
      </c>
      <c r="G3607" s="252" t="s">
        <v>868</v>
      </c>
      <c r="H3607" s="296" t="s">
        <v>2108</v>
      </c>
      <c r="I3607" s="314">
        <v>7.3</v>
      </c>
      <c r="J3607" s="296" t="s">
        <v>868</v>
      </c>
      <c r="K3607" s="252">
        <f>(F3605*I3607)</f>
        <v>73</v>
      </c>
      <c r="L3607" s="296"/>
      <c r="S3607" s="512">
        <v>1</v>
      </c>
      <c r="T3607" s="512" t="s">
        <v>769</v>
      </c>
      <c r="U3607" s="512" t="s">
        <v>2455</v>
      </c>
      <c r="V3607" s="512">
        <f t="shared" si="353"/>
        <v>181</v>
      </c>
      <c r="W3607" s="520" t="s">
        <v>769</v>
      </c>
      <c r="X3607" s="512">
        <f t="shared" si="354"/>
        <v>181</v>
      </c>
    </row>
    <row r="3608" spans="6:29" ht="20.25" customHeight="1">
      <c r="F3608" s="252">
        <v>10</v>
      </c>
      <c r="H3608" s="296" t="s">
        <v>1141</v>
      </c>
      <c r="I3608" s="252">
        <f>I3430</f>
        <v>2.41</v>
      </c>
      <c r="J3608" s="296" t="s">
        <v>868</v>
      </c>
      <c r="K3608" s="252">
        <f t="shared" si="352"/>
        <v>24.1</v>
      </c>
      <c r="L3608" s="296"/>
      <c r="S3608" s="512">
        <v>118</v>
      </c>
      <c r="T3608" s="512" t="s">
        <v>769</v>
      </c>
      <c r="U3608" s="512" t="s">
        <v>3639</v>
      </c>
      <c r="V3608" s="512">
        <f t="shared" si="353"/>
        <v>2.41</v>
      </c>
      <c r="W3608" s="520" t="s">
        <v>769</v>
      </c>
      <c r="X3608" s="512">
        <f t="shared" si="354"/>
        <v>284.38</v>
      </c>
    </row>
    <row r="3609" spans="6:29" ht="20.25" customHeight="1">
      <c r="K3609" s="358" t="s">
        <v>1586</v>
      </c>
      <c r="L3609" s="296"/>
      <c r="S3609" s="512">
        <v>2</v>
      </c>
      <c r="T3609" s="512" t="s">
        <v>769</v>
      </c>
      <c r="U3609" s="512" t="s">
        <v>3640</v>
      </c>
      <c r="V3609" s="512">
        <f t="shared" si="353"/>
        <v>23.1</v>
      </c>
      <c r="W3609" s="520" t="s">
        <v>769</v>
      </c>
      <c r="X3609" s="512">
        <f t="shared" si="354"/>
        <v>46.2</v>
      </c>
    </row>
    <row r="3610" spans="6:29" ht="20.25" customHeight="1">
      <c r="H3610" s="253" t="s">
        <v>3817</v>
      </c>
      <c r="K3610" s="252">
        <f>SUM(K3596:K3608)</f>
        <v>12152.22</v>
      </c>
      <c r="L3610" s="296"/>
      <c r="S3610" s="512">
        <v>2</v>
      </c>
      <c r="T3610" s="512" t="s">
        <v>769</v>
      </c>
      <c r="U3610" s="512" t="s">
        <v>3641</v>
      </c>
      <c r="V3610" s="512">
        <f t="shared" si="353"/>
        <v>49.55</v>
      </c>
      <c r="W3610" s="520" t="s">
        <v>769</v>
      </c>
      <c r="X3610" s="512">
        <f t="shared" si="354"/>
        <v>99.1</v>
      </c>
    </row>
    <row r="3611" spans="6:29" ht="20.25" customHeight="1">
      <c r="K3611" s="358" t="s">
        <v>1586</v>
      </c>
      <c r="L3611" s="296"/>
      <c r="S3611" s="516"/>
      <c r="T3611" s="512"/>
      <c r="U3611" s="512"/>
      <c r="V3611" s="512"/>
      <c r="W3611" s="520" t="s">
        <v>609</v>
      </c>
      <c r="X3611" s="512">
        <f>V3611*S3611</f>
        <v>0</v>
      </c>
    </row>
    <row r="3612" spans="6:29" ht="20.25" customHeight="1">
      <c r="H3612" s="255" t="s">
        <v>552</v>
      </c>
      <c r="I3612" s="296" t="s">
        <v>975</v>
      </c>
      <c r="K3612" s="274">
        <f>K3610/F3601</f>
        <v>2355.08</v>
      </c>
      <c r="S3612" s="512"/>
      <c r="T3612" s="512"/>
      <c r="U3612" s="512" t="s">
        <v>4088</v>
      </c>
      <c r="V3612" s="512"/>
      <c r="W3612" s="520"/>
      <c r="X3612" s="512">
        <f>SUM(X3602:X3611)</f>
        <v>9395.2800000000007</v>
      </c>
    </row>
    <row r="3613" spans="6:29" ht="20.25" customHeight="1">
      <c r="K3613" s="358" t="s">
        <v>2055</v>
      </c>
      <c r="S3613" s="512"/>
      <c r="T3613" s="512"/>
      <c r="U3613" s="512" t="s">
        <v>3225</v>
      </c>
      <c r="V3613" s="512"/>
      <c r="W3613" s="520"/>
      <c r="X3613" s="512">
        <f>X3612/S3603</f>
        <v>2731.19</v>
      </c>
    </row>
    <row r="3614" spans="6:29" ht="20.25" customHeight="1">
      <c r="F3614" s="253" t="s">
        <v>1615</v>
      </c>
      <c r="G3614" s="252" t="s">
        <v>2251</v>
      </c>
      <c r="H3614" s="296" t="s">
        <v>3831</v>
      </c>
      <c r="S3614" s="252"/>
      <c r="W3614" s="253"/>
    </row>
    <row r="3615" spans="6:29" ht="20.25" customHeight="1">
      <c r="H3615" s="296" t="s">
        <v>3832</v>
      </c>
      <c r="S3615" s="512"/>
      <c r="T3615" s="512"/>
      <c r="U3615" s="512" t="s">
        <v>5353</v>
      </c>
      <c r="V3615" s="512"/>
      <c r="W3615" s="520"/>
    </row>
    <row r="3616" spans="6:29" ht="20.25" customHeight="1">
      <c r="H3616" s="358" t="s">
        <v>1586</v>
      </c>
      <c r="S3616" s="252"/>
      <c r="U3616" s="471" t="s">
        <v>4638</v>
      </c>
      <c r="W3616" s="253">
        <f>1.1*2.025</f>
        <v>2.23</v>
      </c>
      <c r="Y3616" s="512"/>
      <c r="Z3616" s="512"/>
      <c r="AA3616" s="512" t="s">
        <v>5968</v>
      </c>
      <c r="AB3616" s="512"/>
      <c r="AC3616" s="513"/>
    </row>
    <row r="3617" spans="6:30" ht="20.25" customHeight="1">
      <c r="H3617" s="296" t="s">
        <v>3833</v>
      </c>
      <c r="I3617" s="407" t="s">
        <v>2055</v>
      </c>
      <c r="J3617" s="538">
        <f>0.65*0.65</f>
        <v>0.42249999999999999</v>
      </c>
      <c r="K3617" s="252" t="s">
        <v>2283</v>
      </c>
      <c r="S3617" s="512">
        <f>W3616</f>
        <v>2.23</v>
      </c>
      <c r="T3617" s="512" t="s">
        <v>609</v>
      </c>
      <c r="U3617" s="512" t="s">
        <v>3634</v>
      </c>
      <c r="V3617" s="512">
        <f>AE3554</f>
        <v>2255</v>
      </c>
      <c r="W3617" s="520" t="s">
        <v>609</v>
      </c>
      <c r="X3617" s="512">
        <f>V3617*S3617</f>
        <v>5028.6499999999996</v>
      </c>
      <c r="AA3617" s="471" t="s">
        <v>5969</v>
      </c>
      <c r="AC3617" s="296">
        <f>0.65*2.025</f>
        <v>1.32</v>
      </c>
    </row>
    <row r="3618" spans="6:30" ht="20.25" customHeight="1">
      <c r="H3618" s="296"/>
      <c r="I3618" s="407"/>
      <c r="J3618" s="462"/>
      <c r="S3618" s="512">
        <f>S3617</f>
        <v>2.23</v>
      </c>
      <c r="T3618" s="512" t="s">
        <v>609</v>
      </c>
      <c r="U3618" s="512" t="s">
        <v>3635</v>
      </c>
      <c r="V3618" s="512">
        <f>V3603</f>
        <v>0</v>
      </c>
      <c r="W3618" s="520" t="s">
        <v>609</v>
      </c>
      <c r="X3618" s="512">
        <f t="shared" ref="X3618:X3625" si="355">V3618*S3618</f>
        <v>0</v>
      </c>
      <c r="Y3618" s="512">
        <f>AC3617</f>
        <v>1.32</v>
      </c>
      <c r="Z3618" s="512" t="s">
        <v>609</v>
      </c>
      <c r="AA3618" s="512" t="s">
        <v>3634</v>
      </c>
      <c r="AB3618" s="512">
        <f>V3618</f>
        <v>0</v>
      </c>
      <c r="AC3618" s="512" t="s">
        <v>609</v>
      </c>
      <c r="AD3618" s="512">
        <f>AB3618*Y3618</f>
        <v>0</v>
      </c>
    </row>
    <row r="3619" spans="6:30" ht="20.25" customHeight="1">
      <c r="H3619" s="296" t="s">
        <v>6147</v>
      </c>
      <c r="I3619" s="407" t="s">
        <v>2055</v>
      </c>
      <c r="J3619" s="538">
        <v>5.1999999999999998E-2</v>
      </c>
      <c r="K3619" s="252" t="s">
        <v>2151</v>
      </c>
      <c r="S3619" s="512">
        <v>4</v>
      </c>
      <c r="T3619" s="512" t="s">
        <v>769</v>
      </c>
      <c r="U3619" s="512" t="s">
        <v>3636</v>
      </c>
      <c r="V3619" s="512">
        <f t="shared" ref="V3619:V3625" si="356">AE3556</f>
        <v>57.65</v>
      </c>
      <c r="W3619" s="520" t="s">
        <v>769</v>
      </c>
      <c r="X3619" s="512">
        <f t="shared" si="355"/>
        <v>230.6</v>
      </c>
      <c r="Y3619" s="512">
        <f>Y3618</f>
        <v>1.32</v>
      </c>
      <c r="Z3619" s="512" t="s">
        <v>609</v>
      </c>
      <c r="AA3619" s="512" t="s">
        <v>3635</v>
      </c>
      <c r="AB3619" s="512">
        <f t="shared" ref="AB3619:AB3626" si="357">V3619</f>
        <v>57.65</v>
      </c>
      <c r="AC3619" s="512" t="s">
        <v>609</v>
      </c>
      <c r="AD3619" s="512">
        <f t="shared" ref="AD3619:AD3627" si="358">AB3619*Y3619</f>
        <v>76.099999999999994</v>
      </c>
    </row>
    <row r="3620" spans="6:30" ht="20.25" customHeight="1">
      <c r="H3620" s="296" t="s">
        <v>3259</v>
      </c>
      <c r="J3620" s="407"/>
      <c r="S3620" s="512">
        <v>6</v>
      </c>
      <c r="T3620" s="512" t="s">
        <v>769</v>
      </c>
      <c r="U3620" s="512" t="s">
        <v>3637</v>
      </c>
      <c r="V3620" s="512">
        <f t="shared" si="356"/>
        <v>89.6</v>
      </c>
      <c r="W3620" s="520" t="s">
        <v>769</v>
      </c>
      <c r="X3620" s="512">
        <f t="shared" si="355"/>
        <v>537.6</v>
      </c>
      <c r="Y3620" s="512">
        <v>2</v>
      </c>
      <c r="Z3620" s="512" t="s">
        <v>769</v>
      </c>
      <c r="AA3620" s="512" t="s">
        <v>3636</v>
      </c>
      <c r="AB3620" s="512">
        <f t="shared" si="357"/>
        <v>89.6</v>
      </c>
      <c r="AC3620" s="512" t="s">
        <v>769</v>
      </c>
      <c r="AD3620" s="512">
        <f t="shared" si="358"/>
        <v>179.2</v>
      </c>
    </row>
    <row r="3621" spans="6:30" ht="20.25" customHeight="1">
      <c r="H3621" s="296" t="s">
        <v>3834</v>
      </c>
      <c r="I3621" s="407" t="s">
        <v>2055</v>
      </c>
      <c r="J3621" s="578">
        <v>1.772E-2</v>
      </c>
      <c r="S3621" s="512">
        <v>4</v>
      </c>
      <c r="T3621" s="512" t="s">
        <v>769</v>
      </c>
      <c r="U3621" s="512" t="s">
        <v>3638</v>
      </c>
      <c r="V3621" s="512">
        <f t="shared" si="356"/>
        <v>64.8</v>
      </c>
      <c r="W3621" s="520" t="s">
        <v>769</v>
      </c>
      <c r="X3621" s="512">
        <f t="shared" si="355"/>
        <v>259.2</v>
      </c>
      <c r="Y3621" s="512">
        <v>3</v>
      </c>
      <c r="Z3621" s="512" t="s">
        <v>769</v>
      </c>
      <c r="AA3621" s="512" t="s">
        <v>3637</v>
      </c>
      <c r="AB3621" s="512">
        <f t="shared" si="357"/>
        <v>64.8</v>
      </c>
      <c r="AC3621" s="512" t="s">
        <v>769</v>
      </c>
      <c r="AD3621" s="512">
        <f t="shared" si="358"/>
        <v>194.4</v>
      </c>
    </row>
    <row r="3622" spans="6:30" ht="20.25" customHeight="1">
      <c r="H3622" s="358"/>
      <c r="S3622" s="512">
        <v>1</v>
      </c>
      <c r="T3622" s="512" t="s">
        <v>769</v>
      </c>
      <c r="U3622" s="512" t="s">
        <v>2455</v>
      </c>
      <c r="V3622" s="512">
        <f t="shared" si="356"/>
        <v>181</v>
      </c>
      <c r="W3622" s="520" t="s">
        <v>769</v>
      </c>
      <c r="X3622" s="512">
        <f t="shared" si="355"/>
        <v>181</v>
      </c>
      <c r="Y3622" s="512">
        <v>2</v>
      </c>
      <c r="Z3622" s="512" t="s">
        <v>769</v>
      </c>
      <c r="AA3622" s="512" t="s">
        <v>3638</v>
      </c>
      <c r="AB3622" s="512">
        <f t="shared" si="357"/>
        <v>181</v>
      </c>
      <c r="AC3622" s="512" t="s">
        <v>769</v>
      </c>
      <c r="AD3622" s="512">
        <f t="shared" si="358"/>
        <v>362</v>
      </c>
    </row>
    <row r="3623" spans="6:30" ht="20.25" customHeight="1">
      <c r="F3623" s="447">
        <v>5.3E-3</v>
      </c>
      <c r="G3623" s="252" t="s">
        <v>1341</v>
      </c>
      <c r="H3623" s="296" t="s">
        <v>1342</v>
      </c>
      <c r="I3623" s="252">
        <f>I3600</f>
        <v>99400</v>
      </c>
      <c r="J3623" s="296" t="s">
        <v>869</v>
      </c>
      <c r="K3623" s="252">
        <f t="shared" ref="K3623:K3629" si="359">(F3623*I3623)</f>
        <v>526.82000000000005</v>
      </c>
      <c r="S3623" s="512">
        <v>118</v>
      </c>
      <c r="T3623" s="512" t="s">
        <v>769</v>
      </c>
      <c r="U3623" s="512" t="s">
        <v>3639</v>
      </c>
      <c r="V3623" s="512">
        <f t="shared" si="356"/>
        <v>2.41</v>
      </c>
      <c r="W3623" s="520" t="s">
        <v>769</v>
      </c>
      <c r="X3623" s="512">
        <f t="shared" si="355"/>
        <v>284.38</v>
      </c>
      <c r="Y3623" s="512">
        <v>1</v>
      </c>
      <c r="Z3623" s="512" t="s">
        <v>769</v>
      </c>
      <c r="AA3623" s="512" t="s">
        <v>2455</v>
      </c>
      <c r="AB3623" s="512">
        <f t="shared" si="357"/>
        <v>2.41</v>
      </c>
      <c r="AC3623" s="512" t="s">
        <v>769</v>
      </c>
      <c r="AD3623" s="512">
        <f t="shared" si="358"/>
        <v>2.41</v>
      </c>
    </row>
    <row r="3624" spans="6:30" ht="20.25" customHeight="1">
      <c r="F3624" s="447">
        <v>0.27450000000000002</v>
      </c>
      <c r="G3624" s="252" t="s">
        <v>609</v>
      </c>
      <c r="H3624" s="296" t="str">
        <f>H3602</f>
        <v>4 mm thicj frosted glass</v>
      </c>
      <c r="I3624" s="252">
        <f>I3602</f>
        <v>306.89999999999998</v>
      </c>
      <c r="J3624" s="296" t="s">
        <v>869</v>
      </c>
      <c r="K3624" s="252">
        <f t="shared" si="359"/>
        <v>84.24</v>
      </c>
      <c r="S3624" s="512">
        <v>2</v>
      </c>
      <c r="T3624" s="512" t="s">
        <v>769</v>
      </c>
      <c r="U3624" s="512" t="s">
        <v>3640</v>
      </c>
      <c r="V3624" s="512">
        <f t="shared" si="356"/>
        <v>23.1</v>
      </c>
      <c r="W3624" s="520" t="s">
        <v>769</v>
      </c>
      <c r="X3624" s="512">
        <f t="shared" si="355"/>
        <v>46.2</v>
      </c>
      <c r="Y3624" s="512">
        <v>92</v>
      </c>
      <c r="Z3624" s="512" t="s">
        <v>769</v>
      </c>
      <c r="AA3624" s="512" t="s">
        <v>3639</v>
      </c>
      <c r="AB3624" s="512">
        <f t="shared" si="357"/>
        <v>23.1</v>
      </c>
      <c r="AC3624" s="512" t="s">
        <v>769</v>
      </c>
      <c r="AD3624" s="512">
        <f t="shared" si="358"/>
        <v>2125.1999999999998</v>
      </c>
    </row>
    <row r="3625" spans="6:30" ht="20.25" customHeight="1">
      <c r="F3625" s="447">
        <v>0.4</v>
      </c>
      <c r="G3625" s="252" t="s">
        <v>609</v>
      </c>
      <c r="H3625" s="296" t="s">
        <v>2092</v>
      </c>
      <c r="I3625" s="252">
        <f>AE34</f>
        <v>1197</v>
      </c>
      <c r="J3625" s="296" t="s">
        <v>609</v>
      </c>
      <c r="K3625" s="252">
        <f t="shared" si="359"/>
        <v>478.8</v>
      </c>
      <c r="S3625" s="512">
        <v>2</v>
      </c>
      <c r="T3625" s="512" t="s">
        <v>769</v>
      </c>
      <c r="U3625" s="512" t="s">
        <v>3641</v>
      </c>
      <c r="V3625" s="512">
        <f t="shared" si="356"/>
        <v>49.55</v>
      </c>
      <c r="W3625" s="520" t="s">
        <v>769</v>
      </c>
      <c r="X3625" s="512">
        <f t="shared" si="355"/>
        <v>99.1</v>
      </c>
      <c r="Y3625" s="512">
        <v>1</v>
      </c>
      <c r="Z3625" s="512" t="s">
        <v>769</v>
      </c>
      <c r="AA3625" s="512" t="s">
        <v>3640</v>
      </c>
      <c r="AB3625" s="512">
        <f t="shared" si="357"/>
        <v>49.55</v>
      </c>
      <c r="AC3625" s="512" t="s">
        <v>769</v>
      </c>
      <c r="AD3625" s="512">
        <f t="shared" si="358"/>
        <v>49.55</v>
      </c>
    </row>
    <row r="3626" spans="6:30" ht="20.25" customHeight="1">
      <c r="F3626" s="252">
        <v>2</v>
      </c>
      <c r="G3626" s="252" t="s">
        <v>1995</v>
      </c>
      <c r="H3626" s="376" t="s">
        <v>1996</v>
      </c>
      <c r="I3626" s="314">
        <v>148</v>
      </c>
      <c r="J3626" s="296" t="s">
        <v>1995</v>
      </c>
      <c r="K3626" s="252">
        <f t="shared" si="359"/>
        <v>296</v>
      </c>
      <c r="S3626" s="516"/>
      <c r="T3626" s="512" t="s">
        <v>609</v>
      </c>
      <c r="U3626" s="512"/>
      <c r="W3626" s="520" t="s">
        <v>609</v>
      </c>
      <c r="X3626" s="512">
        <f>V3625*S3626</f>
        <v>0</v>
      </c>
      <c r="Y3626" s="512">
        <v>1</v>
      </c>
      <c r="Z3626" s="512" t="s">
        <v>769</v>
      </c>
      <c r="AA3626" s="512" t="s">
        <v>3641</v>
      </c>
      <c r="AB3626" s="512">
        <f t="shared" si="357"/>
        <v>0</v>
      </c>
      <c r="AC3626" s="512" t="s">
        <v>769</v>
      </c>
      <c r="AD3626" s="512">
        <f t="shared" si="358"/>
        <v>0</v>
      </c>
    </row>
    <row r="3627" spans="6:30" ht="20.25" customHeight="1">
      <c r="F3627" s="252">
        <v>1</v>
      </c>
      <c r="G3627" s="252" t="s">
        <v>868</v>
      </c>
      <c r="H3627" s="296" t="s">
        <v>1997</v>
      </c>
      <c r="I3627" s="252">
        <f>C293</f>
        <v>6.1</v>
      </c>
      <c r="J3627" s="296" t="s">
        <v>868</v>
      </c>
      <c r="K3627" s="252">
        <f t="shared" si="359"/>
        <v>6.1</v>
      </c>
      <c r="S3627" s="512"/>
      <c r="T3627" s="512"/>
      <c r="U3627" s="512" t="s">
        <v>3643</v>
      </c>
      <c r="V3627" s="512"/>
      <c r="W3627" s="520"/>
      <c r="X3627" s="512">
        <f>SUM(X3617:X3626)</f>
        <v>6666.73</v>
      </c>
      <c r="Y3627" s="599">
        <v>0.35</v>
      </c>
      <c r="Z3627" s="512" t="s">
        <v>609</v>
      </c>
      <c r="AA3627" s="512"/>
      <c r="AC3627" s="512" t="s">
        <v>609</v>
      </c>
      <c r="AD3627" s="512">
        <f t="shared" si="358"/>
        <v>0</v>
      </c>
    </row>
    <row r="3628" spans="6:30" ht="20.25" customHeight="1">
      <c r="F3628" s="252">
        <v>1</v>
      </c>
      <c r="G3628" s="252" t="s">
        <v>868</v>
      </c>
      <c r="H3628" s="296" t="s">
        <v>1998</v>
      </c>
      <c r="I3628" s="252">
        <f>C291</f>
        <v>11.8</v>
      </c>
      <c r="J3628" s="296" t="s">
        <v>868</v>
      </c>
      <c r="K3628" s="252">
        <f t="shared" si="359"/>
        <v>11.8</v>
      </c>
      <c r="S3628" s="512"/>
      <c r="T3628" s="512"/>
      <c r="U3628" s="512" t="s">
        <v>3225</v>
      </c>
      <c r="V3628" s="512"/>
      <c r="W3628" s="520"/>
      <c r="X3628" s="512">
        <f>X3627/S3618</f>
        <v>2989.57</v>
      </c>
      <c r="Y3628" s="512"/>
      <c r="Z3628" s="512"/>
      <c r="AA3628" s="512" t="s">
        <v>3643</v>
      </c>
      <c r="AB3628" s="512"/>
      <c r="AC3628" s="513"/>
      <c r="AD3628" s="512">
        <f>SUM(AD3618:AD3627)</f>
        <v>2988.86</v>
      </c>
    </row>
    <row r="3629" spans="6:30" ht="20.25" customHeight="1">
      <c r="F3629" s="252">
        <v>10</v>
      </c>
      <c r="H3629" s="296" t="s">
        <v>1141</v>
      </c>
      <c r="I3629" s="252">
        <f>I3608</f>
        <v>2.41</v>
      </c>
      <c r="J3629" s="296" t="s">
        <v>868</v>
      </c>
      <c r="K3629" s="252">
        <f t="shared" si="359"/>
        <v>24.1</v>
      </c>
      <c r="W3629" s="253"/>
      <c r="Y3629" s="512"/>
      <c r="Z3629" s="512"/>
      <c r="AA3629" s="512" t="s">
        <v>3225</v>
      </c>
      <c r="AB3629" s="512"/>
      <c r="AC3629" s="513"/>
      <c r="AD3629" s="512">
        <f>AD3628/Y3619</f>
        <v>2264.29</v>
      </c>
    </row>
    <row r="3630" spans="6:30" ht="20.25" customHeight="1">
      <c r="K3630" s="358" t="s">
        <v>1586</v>
      </c>
      <c r="S3630" s="252"/>
      <c r="U3630" s="276" t="s">
        <v>1741</v>
      </c>
      <c r="W3630" s="253"/>
    </row>
    <row r="3631" spans="6:30" ht="20.25" customHeight="1">
      <c r="H3631" s="253" t="s">
        <v>34</v>
      </c>
      <c r="K3631" s="252">
        <f>SUM(K3613:K3629)</f>
        <v>1427.86</v>
      </c>
      <c r="S3631" s="252"/>
      <c r="U3631" s="255" t="s">
        <v>3915</v>
      </c>
      <c r="W3631" s="253"/>
    </row>
    <row r="3632" spans="6:30" ht="20.25" customHeight="1">
      <c r="K3632" s="358" t="s">
        <v>1586</v>
      </c>
      <c r="S3632" s="252"/>
      <c r="W3632" s="253"/>
    </row>
    <row r="3633" spans="6:33" ht="20.25" customHeight="1">
      <c r="H3633" s="255" t="s">
        <v>552</v>
      </c>
      <c r="I3633" s="296" t="s">
        <v>975</v>
      </c>
      <c r="K3633" s="274">
        <f>K3631/F3625</f>
        <v>3569.65</v>
      </c>
      <c r="S3633" s="252"/>
      <c r="W3633" s="253"/>
    </row>
    <row r="3634" spans="6:33" ht="20.25" customHeight="1">
      <c r="F3634" s="296" t="s">
        <v>975</v>
      </c>
      <c r="S3634" s="316">
        <v>2.2800000000000001E-2</v>
      </c>
      <c r="T3634" s="252" t="s">
        <v>869</v>
      </c>
      <c r="U3634" s="252" t="s">
        <v>3124</v>
      </c>
      <c r="V3634" s="252">
        <f>P1111</f>
        <v>111600</v>
      </c>
      <c r="W3634" s="253" t="s">
        <v>869</v>
      </c>
      <c r="X3634" s="252">
        <f>V3634*S3634</f>
        <v>2544.48</v>
      </c>
    </row>
    <row r="3635" spans="6:33" ht="20.25" customHeight="1">
      <c r="K3635" s="358" t="s">
        <v>2055</v>
      </c>
      <c r="S3635" s="316">
        <v>3.5400000000000001E-2</v>
      </c>
      <c r="T3635" s="252" t="s">
        <v>869</v>
      </c>
      <c r="U3635" s="252" t="s">
        <v>2488</v>
      </c>
      <c r="V3635" s="252">
        <f>P1112</f>
        <v>99400</v>
      </c>
      <c r="W3635" s="253" t="s">
        <v>869</v>
      </c>
      <c r="X3635" s="252">
        <f t="shared" ref="X3635:X3644" si="360">V3635*S3635</f>
        <v>3518.76</v>
      </c>
    </row>
    <row r="3636" spans="6:33" ht="20.25" customHeight="1">
      <c r="F3636" s="252">
        <v>45</v>
      </c>
      <c r="H3636" s="604" t="s">
        <v>3987</v>
      </c>
      <c r="I3636" s="604"/>
      <c r="J3636" s="604"/>
      <c r="S3636" s="400">
        <v>3.2300000000000002E-2</v>
      </c>
      <c r="T3636" s="252" t="s">
        <v>869</v>
      </c>
      <c r="U3636" s="252" t="s">
        <v>937</v>
      </c>
      <c r="V3636" s="252">
        <f>P1113</f>
        <v>95000</v>
      </c>
      <c r="W3636" s="253" t="s">
        <v>869</v>
      </c>
      <c r="X3636" s="252">
        <f t="shared" si="360"/>
        <v>3068.5</v>
      </c>
    </row>
    <row r="3637" spans="6:33" ht="20.25" customHeight="1">
      <c r="H3637" s="604"/>
      <c r="I3637" s="604"/>
      <c r="J3637" s="604"/>
      <c r="S3637" s="356">
        <v>2.835</v>
      </c>
      <c r="T3637" s="252" t="s">
        <v>609</v>
      </c>
      <c r="U3637" s="252" t="s">
        <v>883</v>
      </c>
      <c r="V3637" s="252">
        <f>P1114</f>
        <v>1537</v>
      </c>
      <c r="W3637" s="253" t="s">
        <v>609</v>
      </c>
      <c r="X3637" s="252">
        <f t="shared" si="360"/>
        <v>4357.3999999999996</v>
      </c>
    </row>
    <row r="3638" spans="6:33" ht="20.25" customHeight="1">
      <c r="S3638" s="252">
        <v>2</v>
      </c>
      <c r="T3638" s="252" t="s">
        <v>1873</v>
      </c>
      <c r="U3638" s="252" t="s">
        <v>3736</v>
      </c>
      <c r="V3638" s="362">
        <v>254.5</v>
      </c>
      <c r="W3638" s="253" t="s">
        <v>1398</v>
      </c>
      <c r="X3638" s="252">
        <f t="shared" si="360"/>
        <v>509</v>
      </c>
    </row>
    <row r="3639" spans="6:33" ht="20.25" customHeight="1">
      <c r="F3639" s="259">
        <v>0.15</v>
      </c>
      <c r="G3639" s="259" t="s">
        <v>869</v>
      </c>
      <c r="H3639" s="262" t="s">
        <v>5895</v>
      </c>
      <c r="I3639" s="60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20.25"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0.25"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0.25"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0.25"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0.25"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0.25" customHeight="1">
      <c r="G3645" s="252" t="s">
        <v>657</v>
      </c>
      <c r="H3645" s="252" t="s">
        <v>450</v>
      </c>
      <c r="J3645" s="296" t="s">
        <v>657</v>
      </c>
      <c r="K3645" s="252">
        <v>7</v>
      </c>
      <c r="S3645" s="252"/>
      <c r="W3645" s="253"/>
      <c r="X3645" s="274">
        <f>SUM(X3634:X3644)</f>
        <v>18329.419999999998</v>
      </c>
    </row>
    <row r="3646" spans="6:33" ht="20.25" customHeight="1">
      <c r="S3646" s="252"/>
      <c r="T3646" s="274"/>
      <c r="U3646" s="274"/>
      <c r="W3646" s="253"/>
      <c r="X3646" s="377" t="s">
        <v>146</v>
      </c>
    </row>
    <row r="3647" spans="6:33" ht="20.25" customHeight="1">
      <c r="H3647" s="252" t="s">
        <v>441</v>
      </c>
      <c r="K3647" s="252">
        <f>SUM(K3639:K3646)</f>
        <v>3700.69</v>
      </c>
      <c r="S3647" s="252"/>
      <c r="T3647" s="274"/>
      <c r="U3647" s="274" t="s">
        <v>2082</v>
      </c>
      <c r="W3647" s="253"/>
      <c r="X3647" s="274">
        <f>X3645/2.835</f>
        <v>6465.4</v>
      </c>
    </row>
    <row r="3648" spans="6:33" ht="20.25" customHeight="1">
      <c r="H3648" s="252" t="s">
        <v>552</v>
      </c>
      <c r="K3648" s="252">
        <f>K3647/10</f>
        <v>370.07</v>
      </c>
      <c r="S3648" s="252"/>
      <c r="T3648" s="274"/>
      <c r="W3648" s="253"/>
      <c r="X3648" s="377" t="s">
        <v>146</v>
      </c>
      <c r="AB3648" s="1176" t="s">
        <v>5730</v>
      </c>
      <c r="AC3648" s="1176"/>
      <c r="AD3648" s="1176"/>
      <c r="AE3648" s="1176"/>
      <c r="AF3648" s="1176"/>
      <c r="AG3648" s="1176"/>
    </row>
    <row r="3649" spans="6:33" ht="20.25" customHeight="1">
      <c r="S3649" s="252"/>
      <c r="W3649" s="253"/>
      <c r="AB3649" s="1176"/>
      <c r="AC3649" s="1176"/>
      <c r="AD3649" s="1176"/>
      <c r="AE3649" s="1176"/>
      <c r="AF3649" s="1176"/>
      <c r="AG3649" s="1176"/>
    </row>
    <row r="3650" spans="6:33" ht="20.25" customHeight="1">
      <c r="K3650" s="252" t="s">
        <v>2055</v>
      </c>
      <c r="S3650" s="477" t="s">
        <v>4119</v>
      </c>
      <c r="T3650" s="477"/>
      <c r="U3650" s="477"/>
      <c r="V3650" s="477"/>
      <c r="W3650" s="472"/>
      <c r="X3650" s="472"/>
      <c r="Y3650" s="471"/>
      <c r="AB3650" s="474"/>
      <c r="AC3650" s="471"/>
      <c r="AD3650" s="472"/>
      <c r="AE3650" s="471"/>
      <c r="AF3650" s="471"/>
      <c r="AG3650" s="471"/>
    </row>
    <row r="3651" spans="6:33" ht="20.25" customHeight="1">
      <c r="S3651" s="474"/>
      <c r="T3651" s="471"/>
      <c r="U3651" s="472"/>
      <c r="V3651" s="471"/>
      <c r="W3651" s="476"/>
      <c r="X3651" s="471"/>
      <c r="Y3651" s="471"/>
      <c r="AB3651" s="474"/>
      <c r="AC3651" s="471"/>
      <c r="AD3651" s="475"/>
      <c r="AE3651" s="606"/>
      <c r="AF3651" s="471"/>
      <c r="AG3651" s="471"/>
    </row>
    <row r="3652" spans="6:33" ht="20.25" customHeight="1">
      <c r="H3652" s="255" t="s">
        <v>3823</v>
      </c>
      <c r="J3652" s="252"/>
      <c r="S3652" s="474"/>
      <c r="T3652" s="471"/>
      <c r="U3652" s="475"/>
      <c r="V3652" s="606"/>
      <c r="W3652" s="476"/>
      <c r="X3652" s="471"/>
      <c r="Y3652" s="471"/>
      <c r="AB3652" s="474">
        <v>38.86</v>
      </c>
      <c r="AC3652" s="471" t="s">
        <v>913</v>
      </c>
      <c r="AD3652" s="607" t="s">
        <v>4121</v>
      </c>
      <c r="AE3652" s="471">
        <f>V3653</f>
        <v>325</v>
      </c>
      <c r="AF3652" s="471" t="s">
        <v>913</v>
      </c>
      <c r="AG3652" s="471">
        <f>AE3652*AB3652</f>
        <v>12629.5</v>
      </c>
    </row>
    <row r="3653" spans="6:33" ht="20.25" customHeight="1">
      <c r="H3653" s="358" t="s">
        <v>1586</v>
      </c>
      <c r="J3653" s="252"/>
      <c r="S3653" s="474">
        <v>28.49</v>
      </c>
      <c r="T3653" s="471" t="s">
        <v>913</v>
      </c>
      <c r="U3653" s="607" t="s">
        <v>4121</v>
      </c>
      <c r="V3653" s="608">
        <f>I3781</f>
        <v>325</v>
      </c>
      <c r="W3653" s="476" t="s">
        <v>913</v>
      </c>
      <c r="X3653" s="471">
        <f>V3653*S3653</f>
        <v>9259.25</v>
      </c>
      <c r="Y3653" s="471"/>
      <c r="AB3653" s="609">
        <v>34.65</v>
      </c>
      <c r="AC3653" s="471" t="s">
        <v>826</v>
      </c>
      <c r="AD3653" s="475" t="s">
        <v>4327</v>
      </c>
      <c r="AE3653" s="471">
        <f>V3654</f>
        <v>38.25</v>
      </c>
      <c r="AF3653" s="471" t="s">
        <v>826</v>
      </c>
      <c r="AG3653" s="471">
        <f t="shared" ref="AG3653:AG3660" si="362">AE3653*AB3653</f>
        <v>1325.36</v>
      </c>
    </row>
    <row r="3654" spans="6:33" ht="20.25" customHeight="1">
      <c r="G3654" s="296" t="s">
        <v>2251</v>
      </c>
      <c r="H3654" s="276" t="s">
        <v>3824</v>
      </c>
      <c r="J3654" s="252"/>
      <c r="S3654" s="609">
        <v>3.82</v>
      </c>
      <c r="T3654" s="471" t="s">
        <v>826</v>
      </c>
      <c r="U3654" s="475" t="s">
        <v>5896</v>
      </c>
      <c r="V3654" s="608">
        <v>38.25</v>
      </c>
      <c r="W3654" s="476" t="s">
        <v>826</v>
      </c>
      <c r="X3654" s="471">
        <v>501.66</v>
      </c>
      <c r="Y3654" s="471"/>
      <c r="AB3654" s="474">
        <v>2.4300000000000002</v>
      </c>
      <c r="AC3654" s="471" t="s">
        <v>233</v>
      </c>
      <c r="AD3654" s="475" t="s">
        <v>4038</v>
      </c>
      <c r="AE3654" s="471">
        <f>V3655</f>
        <v>362.5</v>
      </c>
      <c r="AF3654" s="471" t="s">
        <v>233</v>
      </c>
      <c r="AG3654" s="471">
        <f t="shared" si="362"/>
        <v>880.88</v>
      </c>
    </row>
    <row r="3655" spans="6:33" ht="20.25" customHeight="1">
      <c r="H3655" s="276" t="s">
        <v>3825</v>
      </c>
      <c r="J3655" s="252"/>
      <c r="S3655" s="474">
        <v>1.52</v>
      </c>
      <c r="T3655" s="471" t="s">
        <v>233</v>
      </c>
      <c r="U3655" s="475" t="s">
        <v>4038</v>
      </c>
      <c r="V3655" s="608">
        <v>362.5</v>
      </c>
      <c r="W3655" s="476" t="s">
        <v>233</v>
      </c>
      <c r="X3655" s="471">
        <f t="shared" ref="X3655:X3664" si="363">V3655*S3655</f>
        <v>551</v>
      </c>
      <c r="Y3655" s="471"/>
      <c r="AB3655" s="474">
        <v>4.8499999999999996</v>
      </c>
      <c r="AC3655" s="471" t="s">
        <v>233</v>
      </c>
      <c r="AD3655" s="475" t="s">
        <v>4039</v>
      </c>
      <c r="AE3655" s="471">
        <f>V3656</f>
        <v>695</v>
      </c>
      <c r="AF3655" s="471" t="s">
        <v>769</v>
      </c>
      <c r="AG3655" s="471">
        <f t="shared" si="362"/>
        <v>3370.75</v>
      </c>
    </row>
    <row r="3656" spans="6:33" ht="20.25" customHeight="1">
      <c r="H3656" s="276" t="s">
        <v>153</v>
      </c>
      <c r="J3656" s="252"/>
      <c r="S3656" s="474">
        <v>1.52</v>
      </c>
      <c r="T3656" s="471" t="s">
        <v>233</v>
      </c>
      <c r="U3656" s="475" t="s">
        <v>4039</v>
      </c>
      <c r="V3656" s="606">
        <v>695</v>
      </c>
      <c r="W3656" s="476" t="s">
        <v>769</v>
      </c>
      <c r="X3656" s="471">
        <f t="shared" si="363"/>
        <v>1056.4000000000001</v>
      </c>
      <c r="Y3656" s="471"/>
      <c r="AB3656" s="512">
        <v>144</v>
      </c>
      <c r="AC3656" s="512" t="s">
        <v>1873</v>
      </c>
      <c r="AD3656" s="512" t="s">
        <v>5897</v>
      </c>
      <c r="AE3656" s="608">
        <v>2.41</v>
      </c>
      <c r="AF3656" s="513" t="s">
        <v>1394</v>
      </c>
      <c r="AG3656" s="471">
        <f>AE3656*AB3656</f>
        <v>347.04</v>
      </c>
    </row>
    <row r="3657" spans="6:33" ht="20.25" customHeight="1">
      <c r="H3657" s="358" t="s">
        <v>1586</v>
      </c>
      <c r="J3657" s="252"/>
      <c r="S3657" s="474">
        <v>3</v>
      </c>
      <c r="T3657" s="471" t="s">
        <v>222</v>
      </c>
      <c r="U3657" s="475" t="s">
        <v>5898</v>
      </c>
      <c r="V3657" s="608">
        <v>11.9</v>
      </c>
      <c r="W3657" s="476" t="s">
        <v>222</v>
      </c>
      <c r="X3657" s="471">
        <f t="shared" si="363"/>
        <v>35.700000000000003</v>
      </c>
      <c r="Y3657" s="471"/>
      <c r="AB3657" s="512">
        <v>12</v>
      </c>
      <c r="AC3657" s="512" t="s">
        <v>1873</v>
      </c>
      <c r="AD3657" s="512" t="s">
        <v>5899</v>
      </c>
      <c r="AE3657" s="608">
        <v>4.88</v>
      </c>
      <c r="AF3657" s="513" t="s">
        <v>1394</v>
      </c>
      <c r="AG3657" s="471">
        <f>AE3657*AB3657</f>
        <v>58.56</v>
      </c>
    </row>
    <row r="3658" spans="6:33" ht="20.25" customHeight="1">
      <c r="G3658" s="296" t="s">
        <v>154</v>
      </c>
      <c r="H3658" s="610" t="s">
        <v>3826</v>
      </c>
      <c r="J3658" s="252"/>
      <c r="S3658" s="474">
        <v>4.2</v>
      </c>
      <c r="T3658" s="471" t="s">
        <v>1398</v>
      </c>
      <c r="U3658" s="475" t="s">
        <v>5354</v>
      </c>
      <c r="V3658" s="608">
        <v>7.95</v>
      </c>
      <c r="W3658" s="476" t="s">
        <v>769</v>
      </c>
      <c r="X3658" s="471">
        <f t="shared" si="363"/>
        <v>33.39</v>
      </c>
      <c r="Y3658" s="471"/>
      <c r="AB3658" s="512">
        <v>12</v>
      </c>
      <c r="AC3658" s="512" t="s">
        <v>1873</v>
      </c>
      <c r="AD3658" s="512" t="s">
        <v>5731</v>
      </c>
      <c r="AE3658" s="608">
        <v>1.08</v>
      </c>
      <c r="AF3658" s="513" t="s">
        <v>1394</v>
      </c>
      <c r="AG3658" s="471">
        <f>AE3658*AB3658</f>
        <v>12.96</v>
      </c>
    </row>
    <row r="3659" spans="6:33" ht="20.25" customHeight="1">
      <c r="H3659" s="358" t="s">
        <v>1586</v>
      </c>
      <c r="J3659" s="252"/>
      <c r="S3659" s="474">
        <v>3.15</v>
      </c>
      <c r="T3659" s="471" t="s">
        <v>2283</v>
      </c>
      <c r="U3659" s="475" t="s">
        <v>3922</v>
      </c>
      <c r="V3659" s="471">
        <f>X3675</f>
        <v>1998</v>
      </c>
      <c r="W3659" s="476" t="s">
        <v>2283</v>
      </c>
      <c r="X3659" s="471">
        <f t="shared" si="363"/>
        <v>6293.7</v>
      </c>
      <c r="Y3659" s="471"/>
      <c r="AB3659" s="474">
        <v>2</v>
      </c>
      <c r="AC3659" s="471" t="s">
        <v>222</v>
      </c>
      <c r="AD3659" s="475" t="s">
        <v>4122</v>
      </c>
      <c r="AE3659" s="608">
        <f>V3657</f>
        <v>11.9</v>
      </c>
      <c r="AF3659" s="471" t="s">
        <v>222</v>
      </c>
      <c r="AG3659" s="471">
        <f t="shared" si="362"/>
        <v>23.8</v>
      </c>
    </row>
    <row r="3660" spans="6:33" ht="20.25" customHeight="1">
      <c r="F3660" s="252">
        <v>18.899999999999999</v>
      </c>
      <c r="G3660" s="296" t="s">
        <v>869</v>
      </c>
      <c r="H3660" s="296" t="s">
        <v>617</v>
      </c>
      <c r="I3660" s="252">
        <f>P431</f>
        <v>224.1</v>
      </c>
      <c r="J3660" s="296" t="s">
        <v>869</v>
      </c>
      <c r="K3660" s="252">
        <f>(F3660*I3660)</f>
        <v>4235.49</v>
      </c>
      <c r="S3660" s="274">
        <v>1</v>
      </c>
      <c r="T3660" s="274" t="s">
        <v>1873</v>
      </c>
      <c r="U3660" s="274" t="s">
        <v>5355</v>
      </c>
      <c r="V3660" s="366">
        <v>49.55</v>
      </c>
      <c r="W3660" s="255" t="s">
        <v>1398</v>
      </c>
      <c r="X3660" s="274">
        <f t="shared" si="363"/>
        <v>49.55</v>
      </c>
      <c r="Y3660" s="471"/>
      <c r="AB3660" s="474">
        <v>6.6150000000000002</v>
      </c>
      <c r="AC3660" s="471" t="s">
        <v>2283</v>
      </c>
      <c r="AD3660" s="475" t="s">
        <v>3922</v>
      </c>
      <c r="AE3660" s="608">
        <f>V3659</f>
        <v>1998</v>
      </c>
      <c r="AF3660" s="471" t="s">
        <v>2283</v>
      </c>
      <c r="AG3660" s="471">
        <f t="shared" si="362"/>
        <v>13216.77</v>
      </c>
    </row>
    <row r="3661" spans="6:33" ht="20.25" customHeight="1">
      <c r="F3661" s="252">
        <v>18.63</v>
      </c>
      <c r="G3661" s="296" t="s">
        <v>869</v>
      </c>
      <c r="H3661" s="296" t="s">
        <v>2157</v>
      </c>
      <c r="I3661" s="252">
        <f>P432</f>
        <v>38.950000000000003</v>
      </c>
      <c r="J3661" s="296" t="s">
        <v>869</v>
      </c>
      <c r="K3661" s="252">
        <f>(F3661*I3661)</f>
        <v>725.64</v>
      </c>
      <c r="S3661" s="274">
        <v>1</v>
      </c>
      <c r="T3661" s="274" t="s">
        <v>1873</v>
      </c>
      <c r="U3661" s="274" t="s">
        <v>4123</v>
      </c>
      <c r="V3661" s="366">
        <v>1008</v>
      </c>
      <c r="W3661" s="255" t="s">
        <v>1398</v>
      </c>
      <c r="X3661" s="274">
        <f t="shared" si="363"/>
        <v>1008</v>
      </c>
      <c r="Y3661" s="471"/>
      <c r="AB3661" s="474"/>
      <c r="AC3661" s="471"/>
      <c r="AD3661" s="296" t="s">
        <v>4042</v>
      </c>
      <c r="AE3661" s="608"/>
      <c r="AF3661" s="471"/>
      <c r="AG3661" s="477">
        <f>SUM(AG3652:AG3660)</f>
        <v>31865.62</v>
      </c>
    </row>
    <row r="3662" spans="6:33" ht="20.25" customHeight="1">
      <c r="F3662" s="252">
        <v>30</v>
      </c>
      <c r="G3662" s="296" t="s">
        <v>1771</v>
      </c>
      <c r="H3662" s="275" t="s">
        <v>5960</v>
      </c>
      <c r="I3662" s="611">
        <v>288</v>
      </c>
      <c r="J3662" s="296" t="s">
        <v>1771</v>
      </c>
      <c r="K3662" s="252">
        <f>(F3662*I3662)</f>
        <v>8640</v>
      </c>
      <c r="S3662" s="512">
        <v>45</v>
      </c>
      <c r="T3662" s="512" t="s">
        <v>1873</v>
      </c>
      <c r="U3662" s="512" t="s">
        <v>5356</v>
      </c>
      <c r="V3662" s="598">
        <v>2.21</v>
      </c>
      <c r="W3662" s="520" t="s">
        <v>1394</v>
      </c>
      <c r="X3662" s="471">
        <f t="shared" si="363"/>
        <v>99.45</v>
      </c>
      <c r="Y3662" s="471"/>
      <c r="AB3662" s="474"/>
      <c r="AC3662" s="471"/>
      <c r="AD3662" s="296" t="s">
        <v>552</v>
      </c>
      <c r="AE3662" s="608"/>
      <c r="AF3662" s="472"/>
      <c r="AG3662" s="477">
        <f>AG3661/AB3660</f>
        <v>4817.18</v>
      </c>
    </row>
    <row r="3663" spans="6:33" ht="20.25" customHeight="1">
      <c r="J3663" s="252"/>
      <c r="S3663" s="512">
        <v>2</v>
      </c>
      <c r="T3663" s="512" t="s">
        <v>1873</v>
      </c>
      <c r="U3663" s="512" t="s">
        <v>6032</v>
      </c>
      <c r="V3663" s="598">
        <v>130.5</v>
      </c>
      <c r="W3663" s="255" t="s">
        <v>1398</v>
      </c>
      <c r="X3663" s="471">
        <f t="shared" si="363"/>
        <v>261</v>
      </c>
      <c r="Y3663" s="471"/>
      <c r="AB3663" s="471"/>
      <c r="AC3663" s="471"/>
      <c r="AD3663" s="479"/>
      <c r="AE3663" s="608"/>
      <c r="AF3663" s="471"/>
      <c r="AG3663" s="471"/>
    </row>
    <row r="3664" spans="6:33" ht="20.25" customHeight="1">
      <c r="F3664" s="252">
        <v>30</v>
      </c>
      <c r="G3664" s="296" t="s">
        <v>1771</v>
      </c>
      <c r="H3664" s="296" t="s">
        <v>2158</v>
      </c>
      <c r="I3664" s="612">
        <v>19.100000000000001</v>
      </c>
      <c r="J3664" s="296" t="s">
        <v>1771</v>
      </c>
      <c r="K3664" s="252">
        <f>(F3664*I3664)</f>
        <v>573</v>
      </c>
      <c r="S3664" s="512">
        <v>2</v>
      </c>
      <c r="T3664" s="512" t="s">
        <v>1873</v>
      </c>
      <c r="U3664" s="512" t="s">
        <v>6033</v>
      </c>
      <c r="V3664" s="598">
        <v>64.8</v>
      </c>
      <c r="W3664" s="255" t="s">
        <v>1398</v>
      </c>
      <c r="X3664" s="471">
        <f t="shared" si="363"/>
        <v>129.6</v>
      </c>
      <c r="Y3664" s="471"/>
      <c r="AB3664" s="471">
        <v>1</v>
      </c>
      <c r="AC3664" s="471" t="s">
        <v>868</v>
      </c>
      <c r="AD3664" s="475" t="s">
        <v>6116</v>
      </c>
      <c r="AE3664" s="608">
        <f>V3670</f>
        <v>881</v>
      </c>
      <c r="AF3664" s="475" t="s">
        <v>868</v>
      </c>
      <c r="AG3664" s="471">
        <f>AE3664*AB3664</f>
        <v>881</v>
      </c>
    </row>
    <row r="3665" spans="6:33" ht="20.25" customHeight="1">
      <c r="H3665" s="296" t="s">
        <v>2159</v>
      </c>
      <c r="J3665" s="252"/>
      <c r="S3665" s="252"/>
      <c r="W3665" s="253"/>
      <c r="X3665" s="356"/>
      <c r="Y3665" s="471"/>
      <c r="AB3665" s="471">
        <v>1</v>
      </c>
      <c r="AC3665" s="471" t="s">
        <v>868</v>
      </c>
      <c r="AD3665" s="475" t="s">
        <v>6117</v>
      </c>
      <c r="AE3665" s="608">
        <f>V3671</f>
        <v>651</v>
      </c>
      <c r="AF3665" s="475" t="s">
        <v>868</v>
      </c>
      <c r="AG3665" s="471">
        <f>AE3665*AB3665</f>
        <v>651</v>
      </c>
    </row>
    <row r="3666" spans="6:33" ht="20.25" customHeight="1">
      <c r="H3666" s="296" t="s">
        <v>2160</v>
      </c>
      <c r="J3666" s="252"/>
      <c r="S3666" s="474"/>
      <c r="T3666" s="471"/>
      <c r="U3666" s="475"/>
      <c r="V3666" s="471"/>
      <c r="W3666" s="476"/>
      <c r="X3666" s="471"/>
      <c r="Y3666" s="471"/>
      <c r="AB3666" s="471">
        <v>0.5</v>
      </c>
      <c r="AC3666" s="471" t="s">
        <v>868</v>
      </c>
      <c r="AD3666" s="475" t="s">
        <v>6118</v>
      </c>
      <c r="AE3666" s="608">
        <f>V3672</f>
        <v>932</v>
      </c>
      <c r="AF3666" s="475" t="s">
        <v>868</v>
      </c>
      <c r="AG3666" s="471">
        <f>AE3666*AB3666</f>
        <v>466</v>
      </c>
    </row>
    <row r="3667" spans="6:33" ht="20.25" customHeight="1">
      <c r="H3667" s="296" t="s">
        <v>2161</v>
      </c>
      <c r="J3667" s="252"/>
      <c r="S3667" s="474"/>
      <c r="T3667" s="471"/>
      <c r="U3667" s="296" t="s">
        <v>4114</v>
      </c>
      <c r="W3667" s="476"/>
      <c r="X3667" s="471">
        <f>SUM(X3653:X3666)</f>
        <v>19278.7</v>
      </c>
      <c r="Y3667" s="471"/>
      <c r="AB3667" s="471"/>
      <c r="AC3667" s="471" t="s">
        <v>449</v>
      </c>
      <c r="AD3667" s="475"/>
      <c r="AE3667" s="608">
        <f>V3673</f>
        <v>0</v>
      </c>
      <c r="AF3667" s="475" t="s">
        <v>449</v>
      </c>
      <c r="AG3667" s="471"/>
    </row>
    <row r="3668" spans="6:33" ht="20.25" customHeight="1">
      <c r="H3668" s="296" t="s">
        <v>5961</v>
      </c>
      <c r="J3668" s="252"/>
      <c r="S3668" s="474"/>
      <c r="T3668" s="471"/>
      <c r="U3668" s="296" t="s">
        <v>552</v>
      </c>
      <c r="W3668" s="472"/>
      <c r="X3668" s="477">
        <f>X3667/3.15</f>
        <v>6120.22</v>
      </c>
      <c r="Y3668" s="477" t="s">
        <v>1398</v>
      </c>
      <c r="AB3668" s="471"/>
      <c r="AC3668" s="471"/>
      <c r="AD3668" s="471"/>
      <c r="AE3668" s="471"/>
      <c r="AF3668" s="475"/>
      <c r="AG3668" s="480" t="s">
        <v>1586</v>
      </c>
    </row>
    <row r="3669" spans="6:33" ht="20.25" customHeight="1">
      <c r="H3669" s="296"/>
      <c r="J3669" s="252"/>
      <c r="S3669" s="471"/>
      <c r="T3669" s="471"/>
      <c r="U3669" s="479"/>
      <c r="V3669" s="471"/>
      <c r="W3669" s="476"/>
      <c r="X3669" s="471"/>
      <c r="Y3669" s="471"/>
      <c r="AB3669" s="471"/>
      <c r="AC3669" s="471"/>
      <c r="AD3669" s="475" t="s">
        <v>3931</v>
      </c>
      <c r="AE3669" s="471"/>
      <c r="AF3669" s="475"/>
      <c r="AG3669" s="477">
        <f>SUM(AG3664:AG3668)</f>
        <v>1998</v>
      </c>
    </row>
    <row r="3670" spans="6:33" ht="20.25" customHeight="1">
      <c r="F3670" s="252">
        <v>5</v>
      </c>
      <c r="G3670" s="296" t="s">
        <v>769</v>
      </c>
      <c r="H3670" s="389" t="s">
        <v>5461</v>
      </c>
      <c r="I3670" s="362">
        <v>44.9</v>
      </c>
      <c r="J3670" s="296" t="s">
        <v>769</v>
      </c>
      <c r="K3670" s="252">
        <f>(F3670*I3670)</f>
        <v>224.5</v>
      </c>
      <c r="L3670" s="613">
        <v>35.6</v>
      </c>
      <c r="S3670" s="471">
        <v>1</v>
      </c>
      <c r="T3670" s="471" t="s">
        <v>868</v>
      </c>
      <c r="U3670" s="475" t="s">
        <v>6116</v>
      </c>
      <c r="V3670" s="471">
        <f>AE17</f>
        <v>881</v>
      </c>
      <c r="W3670" s="476" t="s">
        <v>868</v>
      </c>
      <c r="X3670" s="471">
        <f>V3670*S3670</f>
        <v>881</v>
      </c>
      <c r="Y3670" s="471"/>
      <c r="AB3670" s="471"/>
      <c r="AC3670" s="471"/>
      <c r="AD3670" s="471"/>
      <c r="AE3670" s="471"/>
      <c r="AF3670" s="475"/>
      <c r="AG3670" s="480" t="s">
        <v>1586</v>
      </c>
    </row>
    <row r="3671" spans="6:33" ht="20.25" customHeight="1">
      <c r="F3671" s="252">
        <v>1</v>
      </c>
      <c r="G3671" s="296" t="s">
        <v>449</v>
      </c>
      <c r="H3671" s="296" t="s">
        <v>1684</v>
      </c>
      <c r="I3671" s="252">
        <v>12.1</v>
      </c>
      <c r="J3671" s="296" t="s">
        <v>449</v>
      </c>
      <c r="K3671" s="252">
        <f>(F3671*I3671)</f>
        <v>12.1</v>
      </c>
      <c r="S3671" s="471">
        <v>1</v>
      </c>
      <c r="T3671" s="471" t="s">
        <v>868</v>
      </c>
      <c r="U3671" s="475" t="s">
        <v>6117</v>
      </c>
      <c r="V3671" s="471">
        <f>AE11</f>
        <v>651</v>
      </c>
      <c r="W3671" s="476" t="s">
        <v>868</v>
      </c>
      <c r="X3671" s="471">
        <f>V3671*S3671</f>
        <v>651</v>
      </c>
      <c r="Y3671" s="471"/>
    </row>
    <row r="3672" spans="6:33" ht="20.25" customHeight="1">
      <c r="G3672" s="296" t="s">
        <v>449</v>
      </c>
      <c r="H3672" s="296" t="s">
        <v>450</v>
      </c>
      <c r="J3672" s="296" t="s">
        <v>449</v>
      </c>
      <c r="K3672" s="252">
        <v>17.100000000000001</v>
      </c>
      <c r="S3672" s="471">
        <v>0.5</v>
      </c>
      <c r="T3672" s="471" t="s">
        <v>868</v>
      </c>
      <c r="U3672" s="475" t="s">
        <v>6118</v>
      </c>
      <c r="V3672" s="471">
        <f>AE20</f>
        <v>932</v>
      </c>
      <c r="W3672" s="476" t="s">
        <v>868</v>
      </c>
      <c r="X3672" s="471">
        <f>V3672*S3672</f>
        <v>466</v>
      </c>
      <c r="Y3672" s="471"/>
    </row>
    <row r="3673" spans="6:33" ht="20.25" customHeight="1">
      <c r="J3673" s="252"/>
      <c r="S3673" s="471"/>
      <c r="T3673" s="471" t="s">
        <v>449</v>
      </c>
      <c r="U3673" s="475"/>
      <c r="V3673" s="471"/>
      <c r="W3673" s="476" t="s">
        <v>449</v>
      </c>
      <c r="X3673" s="471"/>
      <c r="Y3673" s="471"/>
    </row>
    <row r="3674" spans="6:33" ht="20.25" customHeight="1">
      <c r="J3674" s="252"/>
      <c r="K3674" s="358" t="s">
        <v>1586</v>
      </c>
      <c r="S3674" s="471"/>
      <c r="T3674" s="471"/>
      <c r="U3674" s="471"/>
      <c r="V3674" s="471"/>
      <c r="W3674" s="476"/>
      <c r="X3674" s="480" t="s">
        <v>1586</v>
      </c>
      <c r="Y3674" s="471"/>
    </row>
    <row r="3675" spans="6:33" ht="20.25" customHeight="1">
      <c r="H3675" s="296" t="s">
        <v>1544</v>
      </c>
      <c r="J3675" s="252"/>
      <c r="K3675" s="252">
        <f>SUM(K3660:K3672)</f>
        <v>14427.83</v>
      </c>
      <c r="S3675" s="471"/>
      <c r="T3675" s="471"/>
      <c r="U3675" s="475" t="s">
        <v>3931</v>
      </c>
      <c r="V3675" s="471"/>
      <c r="W3675" s="476"/>
      <c r="X3675" s="477">
        <f>SUM(X3670:X3674)</f>
        <v>1998</v>
      </c>
      <c r="Y3675" s="471"/>
    </row>
    <row r="3676" spans="6:33" ht="20.25" customHeight="1">
      <c r="J3676" s="252"/>
      <c r="K3676" s="358" t="s">
        <v>1586</v>
      </c>
      <c r="S3676" s="471"/>
      <c r="T3676" s="471"/>
      <c r="U3676" s="471"/>
      <c r="V3676" s="471"/>
      <c r="W3676" s="476"/>
      <c r="X3676" s="480" t="s">
        <v>1586</v>
      </c>
      <c r="Y3676" s="471"/>
    </row>
    <row r="3677" spans="6:33" ht="20.25" customHeight="1">
      <c r="H3677" s="296" t="s">
        <v>1545</v>
      </c>
      <c r="J3677" s="252"/>
      <c r="K3677" s="274">
        <f>(K3675/30)</f>
        <v>480.93</v>
      </c>
      <c r="S3677" s="252"/>
      <c r="W3677" s="253"/>
    </row>
    <row r="3678" spans="6:33" ht="20.25" customHeight="1">
      <c r="J3678" s="252"/>
      <c r="K3678" s="358" t="s">
        <v>1586</v>
      </c>
      <c r="S3678" s="252"/>
      <c r="W3678" s="253"/>
    </row>
    <row r="3679" spans="6:33" ht="20.25" customHeight="1">
      <c r="G3679" s="296" t="s">
        <v>1555</v>
      </c>
      <c r="H3679" s="610" t="s">
        <v>3827</v>
      </c>
      <c r="J3679" s="252"/>
      <c r="S3679" s="614"/>
      <c r="T3679" s="614"/>
      <c r="U3679" s="614"/>
      <c r="V3679" s="614"/>
      <c r="W3679" s="615"/>
      <c r="X3679" s="614"/>
    </row>
    <row r="3680" spans="6:33" ht="20.25" customHeight="1">
      <c r="H3680" s="358" t="s">
        <v>1586</v>
      </c>
      <c r="J3680" s="252"/>
      <c r="S3680" s="1171" t="s">
        <v>4120</v>
      </c>
      <c r="T3680" s="1171"/>
      <c r="U3680" s="1171"/>
      <c r="V3680" s="1171"/>
      <c r="W3680" s="472"/>
      <c r="X3680" s="472"/>
    </row>
    <row r="3681" spans="6:25" ht="20.25" customHeight="1">
      <c r="F3681" s="252">
        <f>F3660</f>
        <v>18.899999999999999</v>
      </c>
      <c r="G3681" s="296" t="s">
        <v>869</v>
      </c>
      <c r="H3681" s="296" t="str">
        <f>H3660</f>
        <v>E.W EXCLUDING REFILLING</v>
      </c>
      <c r="I3681" s="252">
        <f>I3660</f>
        <v>224.1</v>
      </c>
      <c r="J3681" s="296" t="s">
        <v>869</v>
      </c>
      <c r="K3681" s="252">
        <f>(F3681*I3681)</f>
        <v>4235.49</v>
      </c>
      <c r="S3681" s="474"/>
      <c r="T3681" s="471"/>
      <c r="U3681" s="472"/>
      <c r="V3681" s="471"/>
      <c r="W3681" s="476"/>
      <c r="X3681" s="471"/>
    </row>
    <row r="3682" spans="6:25" ht="20.25" customHeight="1">
      <c r="F3682" s="252">
        <v>18.3</v>
      </c>
      <c r="G3682" s="296" t="s">
        <v>869</v>
      </c>
      <c r="H3682" s="296" t="str">
        <f>H3661</f>
        <v>REFILLING CHARGE</v>
      </c>
      <c r="I3682" s="252">
        <f>I3661</f>
        <v>38.950000000000003</v>
      </c>
      <c r="J3682" s="296" t="s">
        <v>869</v>
      </c>
      <c r="K3682" s="252">
        <f>(F3682*I3682)</f>
        <v>712.79</v>
      </c>
      <c r="S3682" s="474"/>
      <c r="T3682" s="471"/>
      <c r="U3682" s="475"/>
      <c r="V3682" s="471"/>
      <c r="W3682" s="476"/>
      <c r="X3682" s="471"/>
    </row>
    <row r="3683" spans="6:25" ht="20.25" customHeight="1">
      <c r="F3683" s="252">
        <f>F3662</f>
        <v>30</v>
      </c>
      <c r="G3683" s="296" t="s">
        <v>1771</v>
      </c>
      <c r="H3683" s="275" t="s">
        <v>5960</v>
      </c>
      <c r="I3683" s="274">
        <v>604.5</v>
      </c>
      <c r="J3683" s="296" t="s">
        <v>1771</v>
      </c>
      <c r="K3683" s="252">
        <f>(F3683*I3683)</f>
        <v>18135</v>
      </c>
      <c r="S3683" s="474">
        <v>29.06</v>
      </c>
      <c r="T3683" s="471" t="s">
        <v>913</v>
      </c>
      <c r="U3683" s="607" t="s">
        <v>4121</v>
      </c>
      <c r="V3683" s="471">
        <f>V3653</f>
        <v>325</v>
      </c>
      <c r="W3683" s="476" t="s">
        <v>913</v>
      </c>
      <c r="X3683" s="471">
        <f>V3683*S3683</f>
        <v>9444.5</v>
      </c>
    </row>
    <row r="3684" spans="6:25" ht="20.25" customHeight="1">
      <c r="H3684" s="296"/>
      <c r="J3684" s="252"/>
      <c r="S3684" s="609">
        <v>9.24</v>
      </c>
      <c r="T3684" s="471" t="s">
        <v>826</v>
      </c>
      <c r="U3684" s="475" t="s">
        <v>4040</v>
      </c>
      <c r="V3684" s="471">
        <f t="shared" ref="V3684:V3694" si="364">V3654</f>
        <v>38.25</v>
      </c>
      <c r="W3684" s="476" t="s">
        <v>826</v>
      </c>
      <c r="X3684" s="471">
        <f t="shared" ref="X3684:X3694" si="365">V3684*S3684</f>
        <v>353.43</v>
      </c>
    </row>
    <row r="3685" spans="6:25" ht="20.25" customHeight="1">
      <c r="F3685" s="252">
        <f>F3664</f>
        <v>30</v>
      </c>
      <c r="H3685" s="296" t="str">
        <f>H3664</f>
        <v>CONVEYING,LOWERING  ANDLAYING</v>
      </c>
      <c r="I3685" s="252">
        <v>27</v>
      </c>
      <c r="J3685" s="296" t="s">
        <v>1771</v>
      </c>
      <c r="K3685" s="252">
        <f>(F3685*I3685)</f>
        <v>810</v>
      </c>
      <c r="S3685" s="474">
        <v>1.49</v>
      </c>
      <c r="T3685" s="471" t="s">
        <v>233</v>
      </c>
      <c r="U3685" s="475" t="s">
        <v>4038</v>
      </c>
      <c r="V3685" s="471">
        <f t="shared" si="364"/>
        <v>362.5</v>
      </c>
      <c r="W3685" s="476" t="s">
        <v>233</v>
      </c>
      <c r="X3685" s="471">
        <f t="shared" si="365"/>
        <v>540.13</v>
      </c>
    </row>
    <row r="3686" spans="6:25" ht="20.25" customHeight="1">
      <c r="H3686" s="296" t="str">
        <f>H3665</f>
        <v>TO PROPER GRADEAND</v>
      </c>
      <c r="J3686" s="252"/>
      <c r="S3686" s="474">
        <v>0.75</v>
      </c>
      <c r="T3686" s="471" t="s">
        <v>233</v>
      </c>
      <c r="U3686" s="475" t="s">
        <v>4039</v>
      </c>
      <c r="V3686" s="471">
        <f t="shared" si="364"/>
        <v>695</v>
      </c>
      <c r="W3686" s="476" t="s">
        <v>769</v>
      </c>
      <c r="X3686" s="471">
        <f t="shared" si="365"/>
        <v>521.25</v>
      </c>
    </row>
    <row r="3687" spans="6:25" ht="20.25" customHeight="1">
      <c r="H3687" s="296" t="str">
        <f>H3666</f>
        <v>ALIGNMENT,JOINTING</v>
      </c>
      <c r="J3687" s="252"/>
      <c r="S3687" s="616">
        <v>2</v>
      </c>
      <c r="T3687" s="471" t="s">
        <v>222</v>
      </c>
      <c r="U3687" s="475" t="s">
        <v>4122</v>
      </c>
      <c r="V3687" s="471">
        <f t="shared" si="364"/>
        <v>11.9</v>
      </c>
      <c r="W3687" s="476" t="s">
        <v>222</v>
      </c>
      <c r="X3687" s="471">
        <f t="shared" si="365"/>
        <v>23.8</v>
      </c>
    </row>
    <row r="3688" spans="6:25" ht="20.25" customHeight="1">
      <c r="G3688" s="296"/>
      <c r="H3688" s="296" t="str">
        <f>H3667</f>
        <v>ETC BUT EXCLUDING  COST OF</v>
      </c>
      <c r="S3688" s="474">
        <v>7.08</v>
      </c>
      <c r="T3688" s="471" t="s">
        <v>1398</v>
      </c>
      <c r="U3688" s="475" t="s">
        <v>4108</v>
      </c>
      <c r="V3688" s="471">
        <f t="shared" si="364"/>
        <v>7.95</v>
      </c>
      <c r="W3688" s="476" t="s">
        <v>769</v>
      </c>
      <c r="X3688" s="471">
        <f t="shared" si="365"/>
        <v>56.29</v>
      </c>
    </row>
    <row r="3689" spans="6:25" ht="20.25" customHeight="1">
      <c r="G3689" s="296"/>
      <c r="H3689" s="296" t="s">
        <v>5961</v>
      </c>
      <c r="S3689" s="474">
        <v>2.1</v>
      </c>
      <c r="T3689" s="471" t="s">
        <v>2283</v>
      </c>
      <c r="U3689" s="475" t="s">
        <v>3922</v>
      </c>
      <c r="V3689" s="471">
        <f t="shared" si="364"/>
        <v>1998</v>
      </c>
      <c r="W3689" s="476" t="s">
        <v>2283</v>
      </c>
      <c r="X3689" s="471">
        <f t="shared" si="365"/>
        <v>4195.8</v>
      </c>
    </row>
    <row r="3690" spans="6:25" ht="20.25" customHeight="1">
      <c r="G3690" s="296"/>
      <c r="H3690" s="296"/>
      <c r="S3690" s="274">
        <v>1</v>
      </c>
      <c r="T3690" s="274" t="s">
        <v>1873</v>
      </c>
      <c r="U3690" s="274" t="s">
        <v>4109</v>
      </c>
      <c r="V3690" s="471">
        <f t="shared" si="364"/>
        <v>49.55</v>
      </c>
      <c r="W3690" s="255" t="s">
        <v>1398</v>
      </c>
      <c r="X3690" s="471">
        <f t="shared" si="365"/>
        <v>49.55</v>
      </c>
    </row>
    <row r="3691" spans="6:25" ht="20.25"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4123</v>
      </c>
      <c r="V3691" s="471">
        <f t="shared" si="364"/>
        <v>1008</v>
      </c>
      <c r="W3691" s="255" t="s">
        <v>1398</v>
      </c>
      <c r="X3691" s="471">
        <f t="shared" si="365"/>
        <v>1008</v>
      </c>
    </row>
    <row r="3692" spans="6:25" ht="20.25" customHeight="1">
      <c r="F3692" s="252">
        <f>F3671</f>
        <v>1</v>
      </c>
      <c r="H3692" s="296" t="str">
        <f>H3671</f>
        <v>COST OF JOINTING  MATERIALS</v>
      </c>
      <c r="I3692" s="252">
        <f>I3671</f>
        <v>12.1</v>
      </c>
      <c r="J3692" s="296" t="s">
        <v>449</v>
      </c>
      <c r="K3692" s="252">
        <f>(F3692*I3692)</f>
        <v>12.1</v>
      </c>
      <c r="S3692" s="512">
        <v>6</v>
      </c>
      <c r="T3692" s="512" t="s">
        <v>1873</v>
      </c>
      <c r="U3692" s="512" t="s">
        <v>4117</v>
      </c>
      <c r="V3692" s="471">
        <f t="shared" si="364"/>
        <v>2.21</v>
      </c>
      <c r="W3692" s="520" t="s">
        <v>1394</v>
      </c>
      <c r="X3692" s="471">
        <f t="shared" si="365"/>
        <v>13.26</v>
      </c>
    </row>
    <row r="3693" spans="6:25" ht="20.25" customHeight="1">
      <c r="H3693" s="296" t="str">
        <f>H3672</f>
        <v>SUNDRIES</v>
      </c>
      <c r="J3693" s="296" t="s">
        <v>449</v>
      </c>
      <c r="K3693" s="252">
        <v>24.3</v>
      </c>
      <c r="S3693" s="512">
        <v>2</v>
      </c>
      <c r="T3693" s="512" t="s">
        <v>1873</v>
      </c>
      <c r="U3693" s="512" t="s">
        <v>4124</v>
      </c>
      <c r="V3693" s="471">
        <f t="shared" si="364"/>
        <v>130.5</v>
      </c>
      <c r="W3693" s="255" t="s">
        <v>1398</v>
      </c>
      <c r="X3693" s="471">
        <f t="shared" si="365"/>
        <v>261</v>
      </c>
    </row>
    <row r="3694" spans="6:25" ht="20.25" customHeight="1">
      <c r="J3694" s="252"/>
      <c r="S3694" s="512">
        <v>2</v>
      </c>
      <c r="T3694" s="512" t="s">
        <v>1873</v>
      </c>
      <c r="U3694" s="512" t="s">
        <v>4113</v>
      </c>
      <c r="V3694" s="471">
        <f t="shared" si="364"/>
        <v>64.8</v>
      </c>
      <c r="W3694" s="255" t="s">
        <v>1398</v>
      </c>
      <c r="X3694" s="471">
        <f t="shared" si="365"/>
        <v>129.6</v>
      </c>
    </row>
    <row r="3695" spans="6:25" ht="20.25" customHeight="1">
      <c r="H3695" s="296" t="s">
        <v>1544</v>
      </c>
      <c r="J3695" s="252"/>
      <c r="K3695" s="252">
        <f>SUM(K3681:K3694)</f>
        <v>24154.18</v>
      </c>
      <c r="S3695" s="252"/>
      <c r="U3695" s="296" t="s">
        <v>4125</v>
      </c>
      <c r="W3695" s="476"/>
      <c r="X3695" s="471">
        <f>SUM(X3683:X3694)</f>
        <v>16596.61</v>
      </c>
      <c r="Y3695" s="471"/>
    </row>
    <row r="3696" spans="6:25" ht="20.25" customHeight="1">
      <c r="J3696" s="252"/>
      <c r="K3696" s="358" t="s">
        <v>1586</v>
      </c>
      <c r="S3696" s="614"/>
      <c r="T3696" s="614"/>
      <c r="U3696" s="296" t="s">
        <v>552</v>
      </c>
      <c r="W3696" s="472"/>
      <c r="X3696" s="477">
        <f>X3695/2.1</f>
        <v>7903.15</v>
      </c>
      <c r="Y3696" s="477"/>
    </row>
    <row r="3697" spans="6:26" ht="20.25" customHeight="1">
      <c r="H3697" s="296" t="s">
        <v>1545</v>
      </c>
      <c r="J3697" s="252"/>
      <c r="K3697" s="274">
        <f>(K3695/30)</f>
        <v>805.14</v>
      </c>
      <c r="S3697" s="614"/>
      <c r="T3697" s="614"/>
      <c r="U3697" s="614"/>
      <c r="V3697" s="614"/>
      <c r="W3697" s="615"/>
      <c r="X3697" s="614"/>
    </row>
    <row r="3698" spans="6:26" ht="20.25" customHeight="1">
      <c r="J3698" s="252"/>
      <c r="S3698" s="252"/>
      <c r="U3698" s="274" t="s">
        <v>4221</v>
      </c>
      <c r="W3698" s="253"/>
    </row>
    <row r="3699" spans="6:26" ht="20.25" customHeight="1">
      <c r="S3699" s="477"/>
      <c r="T3699" s="477"/>
      <c r="U3699" s="617" t="s">
        <v>6148</v>
      </c>
      <c r="V3699" s="617"/>
      <c r="W3699" s="618"/>
      <c r="X3699" s="617"/>
      <c r="Y3699" s="617"/>
      <c r="Z3699" s="617"/>
    </row>
    <row r="3700" spans="6:26" ht="20.25" customHeight="1">
      <c r="S3700" s="477"/>
      <c r="T3700" s="477"/>
      <c r="U3700" s="617"/>
      <c r="V3700" s="617"/>
      <c r="W3700" s="618"/>
      <c r="X3700" s="617"/>
      <c r="Y3700" s="617"/>
      <c r="Z3700" s="617"/>
    </row>
    <row r="3701" spans="6:26" ht="20.25" customHeight="1">
      <c r="F3701" s="614"/>
      <c r="G3701" s="614"/>
      <c r="H3701" s="614"/>
      <c r="I3701" s="614"/>
      <c r="J3701" s="614"/>
      <c r="K3701" s="614"/>
      <c r="L3701" s="614"/>
      <c r="M3701" s="614"/>
      <c r="N3701" s="614"/>
      <c r="S3701" s="474">
        <v>17.440000000000001</v>
      </c>
      <c r="T3701" s="471" t="s">
        <v>913</v>
      </c>
      <c r="U3701" s="607" t="s">
        <v>4328</v>
      </c>
      <c r="V3701" s="471">
        <f>V3683</f>
        <v>325</v>
      </c>
      <c r="W3701" s="476" t="s">
        <v>913</v>
      </c>
      <c r="X3701" s="471">
        <f>V3701*S3701</f>
        <v>5668</v>
      </c>
      <c r="Y3701" s="471"/>
    </row>
    <row r="3702" spans="6:26" ht="20.25" customHeight="1">
      <c r="F3702" s="614"/>
      <c r="G3702" s="614"/>
      <c r="H3702" s="619" t="s">
        <v>4043</v>
      </c>
      <c r="I3702" s="619"/>
      <c r="J3702" s="619"/>
      <c r="K3702" s="619"/>
      <c r="L3702" s="614"/>
      <c r="M3702" s="614"/>
      <c r="N3702" s="614"/>
      <c r="S3702" s="609">
        <v>13.56</v>
      </c>
      <c r="T3702" s="471" t="s">
        <v>826</v>
      </c>
      <c r="U3702" s="475" t="s">
        <v>5357</v>
      </c>
      <c r="V3702" s="608">
        <v>38.25</v>
      </c>
      <c r="W3702" s="476" t="s">
        <v>826</v>
      </c>
      <c r="X3702" s="471">
        <v>501.66</v>
      </c>
      <c r="Y3702" s="471"/>
    </row>
    <row r="3703" spans="6:26" ht="20.25" customHeight="1">
      <c r="F3703" s="614">
        <v>11</v>
      </c>
      <c r="G3703" s="508" t="s">
        <v>2283</v>
      </c>
      <c r="H3703" s="614" t="s">
        <v>5462</v>
      </c>
      <c r="I3703" s="362">
        <v>434</v>
      </c>
      <c r="J3703" s="508" t="s">
        <v>2283</v>
      </c>
      <c r="K3703" s="553">
        <f>I3703*F3703</f>
        <v>4774</v>
      </c>
      <c r="L3703" s="614"/>
      <c r="M3703" s="614"/>
      <c r="N3703" s="614"/>
      <c r="S3703" s="474">
        <v>2.62</v>
      </c>
      <c r="T3703" s="471" t="s">
        <v>233</v>
      </c>
      <c r="U3703" s="475" t="s">
        <v>5358</v>
      </c>
      <c r="V3703" s="608">
        <v>306.89999999999998</v>
      </c>
      <c r="W3703" s="476" t="s">
        <v>233</v>
      </c>
      <c r="X3703" s="471">
        <f>V3703*S3703</f>
        <v>804.08</v>
      </c>
      <c r="Y3703" s="471"/>
    </row>
    <row r="3704" spans="6:26" ht="20.25" customHeight="1">
      <c r="F3704" s="614">
        <v>2.2000000000000002</v>
      </c>
      <c r="G3704" s="614" t="s">
        <v>1398</v>
      </c>
      <c r="H3704" s="614" t="s">
        <v>4059</v>
      </c>
      <c r="I3704" s="252">
        <f>AE17</f>
        <v>881</v>
      </c>
      <c r="J3704" s="614" t="s">
        <v>1398</v>
      </c>
      <c r="K3704" s="553">
        <f>I3704*F3704</f>
        <v>1938.2</v>
      </c>
      <c r="L3704" s="614"/>
      <c r="M3704" s="614"/>
      <c r="N3704" s="614"/>
      <c r="S3704" s="474">
        <v>8</v>
      </c>
      <c r="T3704" s="471" t="s">
        <v>1432</v>
      </c>
      <c r="U3704" s="475" t="s">
        <v>5359</v>
      </c>
      <c r="V3704" s="608">
        <v>14.6</v>
      </c>
      <c r="W3704" s="476" t="s">
        <v>1432</v>
      </c>
      <c r="X3704" s="471">
        <f>V3704*S3704</f>
        <v>116.8</v>
      </c>
      <c r="Y3704" s="471"/>
    </row>
    <row r="3705" spans="6:26" ht="20.25" customHeight="1">
      <c r="F3705" s="614">
        <v>1.1000000000000001</v>
      </c>
      <c r="G3705" s="614" t="s">
        <v>1398</v>
      </c>
      <c r="H3705" s="614" t="s">
        <v>4044</v>
      </c>
      <c r="I3705" s="252">
        <f>AE19</f>
        <v>976</v>
      </c>
      <c r="J3705" s="614" t="s">
        <v>1398</v>
      </c>
      <c r="K3705" s="553">
        <f>I3705*F3705</f>
        <v>1073.5999999999999</v>
      </c>
      <c r="L3705" s="614"/>
      <c r="M3705" s="614"/>
      <c r="N3705" s="614"/>
      <c r="S3705" s="474">
        <v>3</v>
      </c>
      <c r="T3705" s="471" t="s">
        <v>1432</v>
      </c>
      <c r="U3705" s="475" t="s">
        <v>5360</v>
      </c>
      <c r="V3705" s="608">
        <v>71.099999999999994</v>
      </c>
      <c r="W3705" s="476" t="s">
        <v>222</v>
      </c>
      <c r="X3705" s="471">
        <f>V3705*S3705</f>
        <v>213.3</v>
      </c>
      <c r="Y3705" s="471"/>
    </row>
    <row r="3706" spans="6:26" ht="20.25" customHeight="1">
      <c r="F3706" s="614">
        <v>3.2</v>
      </c>
      <c r="G3706" s="614" t="s">
        <v>1398</v>
      </c>
      <c r="H3706" s="567" t="s">
        <v>4045</v>
      </c>
      <c r="I3706" s="252">
        <f>AE11</f>
        <v>651</v>
      </c>
      <c r="J3706" s="614" t="s">
        <v>1398</v>
      </c>
      <c r="K3706" s="553">
        <f>I3706*F3706</f>
        <v>2083.1999999999998</v>
      </c>
      <c r="L3706" s="614"/>
      <c r="M3706" s="614"/>
      <c r="N3706" s="614"/>
      <c r="S3706" s="474">
        <v>4</v>
      </c>
      <c r="T3706" s="471" t="s">
        <v>1432</v>
      </c>
      <c r="U3706" s="475" t="s">
        <v>5361</v>
      </c>
      <c r="V3706" s="608">
        <v>35.299999999999997</v>
      </c>
      <c r="W3706" s="476" t="s">
        <v>769</v>
      </c>
      <c r="X3706" s="471">
        <f>V3706*S3706</f>
        <v>141.19999999999999</v>
      </c>
      <c r="Y3706" s="471"/>
    </row>
    <row r="3707" spans="6:26" ht="20.25" customHeight="1">
      <c r="F3707" s="614"/>
      <c r="G3707" s="614" t="s">
        <v>4046</v>
      </c>
      <c r="H3707" s="614" t="s">
        <v>4047</v>
      </c>
      <c r="I3707" s="614" t="s">
        <v>4046</v>
      </c>
      <c r="J3707" s="614"/>
      <c r="K3707" s="614">
        <v>107.11</v>
      </c>
      <c r="L3707" s="614"/>
      <c r="M3707" s="614"/>
      <c r="N3707" s="614"/>
      <c r="S3707" s="474">
        <v>2.4300000000000002</v>
      </c>
      <c r="T3707" s="471" t="s">
        <v>2283</v>
      </c>
      <c r="U3707" s="475" t="s">
        <v>3922</v>
      </c>
      <c r="V3707" s="471">
        <f>X3675</f>
        <v>1998</v>
      </c>
      <c r="W3707" s="476" t="s">
        <v>2283</v>
      </c>
      <c r="X3707" s="471">
        <f>V3707*S3707</f>
        <v>4855.1400000000003</v>
      </c>
      <c r="Y3707" s="471"/>
    </row>
    <row r="3708" spans="6:26" ht="20.25" customHeight="1">
      <c r="F3708" s="614"/>
      <c r="G3708" s="614"/>
      <c r="H3708" s="614" t="s">
        <v>4048</v>
      </c>
      <c r="I3708" s="614"/>
      <c r="J3708" s="614"/>
      <c r="K3708" s="553">
        <f>SUM(K3703:K3707)</f>
        <v>9976.11</v>
      </c>
      <c r="L3708" s="614"/>
      <c r="M3708" s="614"/>
      <c r="N3708" s="614"/>
      <c r="S3708" s="274"/>
      <c r="T3708" s="274" t="s">
        <v>657</v>
      </c>
      <c r="U3708" s="274" t="s">
        <v>4216</v>
      </c>
      <c r="V3708" s="274"/>
      <c r="W3708" s="255" t="s">
        <v>657</v>
      </c>
      <c r="X3708" s="274">
        <v>130</v>
      </c>
      <c r="Y3708" s="471"/>
    </row>
    <row r="3709" spans="6:26" ht="20.25" customHeight="1">
      <c r="F3709" s="614"/>
      <c r="G3709" s="614"/>
      <c r="H3709" s="614" t="s">
        <v>4049</v>
      </c>
      <c r="I3709" s="614"/>
      <c r="J3709" s="614"/>
      <c r="K3709" s="620">
        <f>K3708/10</f>
        <v>997.61</v>
      </c>
      <c r="L3709" s="614"/>
      <c r="M3709" s="614"/>
      <c r="N3709" s="614">
        <f>L3709</f>
        <v>0</v>
      </c>
      <c r="S3709" s="274"/>
      <c r="T3709" s="274"/>
      <c r="U3709" s="274"/>
      <c r="V3709" s="274"/>
      <c r="W3709" s="255"/>
      <c r="X3709" s="274">
        <f>SUM(X3701:X3708)</f>
        <v>12430.18</v>
      </c>
      <c r="Y3709" s="471"/>
    </row>
    <row r="3710" spans="6:26" ht="20.25" customHeight="1">
      <c r="F3710" s="614"/>
      <c r="G3710" s="614"/>
      <c r="H3710" s="614"/>
      <c r="I3710" s="614"/>
      <c r="J3710" s="614"/>
      <c r="K3710" s="614"/>
      <c r="L3710" s="614"/>
      <c r="M3710" s="614"/>
      <c r="N3710" s="614"/>
      <c r="W3710" s="253"/>
      <c r="X3710" s="274">
        <f>X3709/S3707</f>
        <v>5115.3</v>
      </c>
      <c r="Y3710" s="471" t="s">
        <v>2283</v>
      </c>
    </row>
    <row r="3711" spans="6:26" ht="20.25" customHeight="1">
      <c r="F3711" s="1177" t="s">
        <v>4060</v>
      </c>
      <c r="G3711" s="1177"/>
      <c r="H3711" s="1177"/>
      <c r="I3711" s="1177"/>
      <c r="J3711" s="1177"/>
      <c r="K3711" s="1177"/>
      <c r="L3711" s="614"/>
      <c r="M3711" s="614"/>
      <c r="N3711" s="614"/>
      <c r="O3711" s="1178" t="s">
        <v>4721</v>
      </c>
      <c r="P3711" s="1178"/>
      <c r="W3711" s="253" t="s">
        <v>4223</v>
      </c>
      <c r="X3711" s="252">
        <v>3584</v>
      </c>
      <c r="Y3711" s="471"/>
    </row>
    <row r="3712" spans="6:26" ht="20.25" customHeight="1">
      <c r="F3712" s="614"/>
      <c r="G3712" s="614"/>
      <c r="H3712" s="619" t="s">
        <v>4050</v>
      </c>
      <c r="I3712" s="619"/>
      <c r="J3712" s="619"/>
      <c r="K3712" s="619"/>
      <c r="L3712" s="614"/>
      <c r="M3712" s="508">
        <v>12.72</v>
      </c>
      <c r="N3712" s="614" t="s">
        <v>1645</v>
      </c>
      <c r="O3712" s="252" t="s">
        <v>4725</v>
      </c>
      <c r="P3712" s="252">
        <f>V3715</f>
        <v>325</v>
      </c>
      <c r="Q3712" s="614" t="s">
        <v>1645</v>
      </c>
      <c r="R3712" s="621">
        <f>P3712*M3712</f>
        <v>4134</v>
      </c>
      <c r="S3712" s="252"/>
      <c r="U3712" s="274" t="s">
        <v>4222</v>
      </c>
      <c r="W3712" s="253"/>
      <c r="Y3712" s="471"/>
    </row>
    <row r="3713" spans="6:25" ht="20.25" customHeight="1">
      <c r="F3713" s="508">
        <v>36</v>
      </c>
      <c r="G3713" s="614" t="s">
        <v>826</v>
      </c>
      <c r="H3713" s="567" t="s">
        <v>5900</v>
      </c>
      <c r="I3713" s="362">
        <v>34.6</v>
      </c>
      <c r="J3713" s="508" t="str">
        <f>G3713</f>
        <v>Rmt</v>
      </c>
      <c r="K3713" s="508">
        <f>I3713*F3713</f>
        <v>1245.5999999999999</v>
      </c>
      <c r="L3713" s="614"/>
      <c r="M3713" s="622">
        <v>9.4</v>
      </c>
      <c r="N3713" s="623" t="s">
        <v>2283</v>
      </c>
      <c r="O3713" s="624" t="s">
        <v>4723</v>
      </c>
      <c r="P3713" s="625">
        <v>807</v>
      </c>
      <c r="Q3713" s="623" t="s">
        <v>2283</v>
      </c>
      <c r="R3713" s="621">
        <f t="shared" ref="R3713:R3718" si="366">P3713*M3713</f>
        <v>7585.8</v>
      </c>
      <c r="S3713" s="477"/>
      <c r="T3713" s="477"/>
      <c r="U3713" s="617" t="s">
        <v>6149</v>
      </c>
      <c r="V3713" s="617"/>
      <c r="W3713" s="618"/>
      <c r="X3713" s="617"/>
      <c r="Y3713" s="471"/>
    </row>
    <row r="3714" spans="6:25" ht="20.25" customHeight="1">
      <c r="F3714" s="508">
        <v>9</v>
      </c>
      <c r="G3714" s="508" t="s">
        <v>2283</v>
      </c>
      <c r="H3714" s="626" t="s">
        <v>4051</v>
      </c>
      <c r="I3714" s="314">
        <v>350</v>
      </c>
      <c r="J3714" s="508" t="str">
        <f>G3714</f>
        <v>Sqm</v>
      </c>
      <c r="K3714" s="508">
        <f>I3714*F3714</f>
        <v>3150</v>
      </c>
      <c r="L3714" s="614"/>
      <c r="M3714" s="508">
        <v>9.4</v>
      </c>
      <c r="N3714" s="508" t="s">
        <v>2283</v>
      </c>
      <c r="O3714" s="626" t="s">
        <v>5362</v>
      </c>
      <c r="P3714" s="362">
        <v>412</v>
      </c>
      <c r="Q3714" s="508" t="s">
        <v>2283</v>
      </c>
      <c r="R3714" s="621">
        <f t="shared" si="366"/>
        <v>3872.8</v>
      </c>
      <c r="S3714" s="477"/>
      <c r="T3714" s="477"/>
      <c r="U3714" s="617"/>
      <c r="V3714" s="617"/>
      <c r="W3714" s="618"/>
      <c r="X3714" s="617"/>
      <c r="Y3714" s="471"/>
    </row>
    <row r="3715" spans="6:25" ht="20.25" customHeight="1">
      <c r="F3715" s="508">
        <v>9</v>
      </c>
      <c r="G3715" s="508" t="s">
        <v>2283</v>
      </c>
      <c r="H3715" s="626" t="s">
        <v>4052</v>
      </c>
      <c r="I3715" s="314">
        <v>860.8</v>
      </c>
      <c r="J3715" s="508" t="str">
        <f>G3715</f>
        <v>Sqm</v>
      </c>
      <c r="K3715" s="508">
        <f>I3715*F3715</f>
        <v>7747.2</v>
      </c>
      <c r="L3715" s="614"/>
      <c r="M3715" s="508">
        <v>40</v>
      </c>
      <c r="N3715" s="508" t="s">
        <v>258</v>
      </c>
      <c r="O3715" s="626" t="s">
        <v>4722</v>
      </c>
      <c r="P3715" s="314">
        <v>10</v>
      </c>
      <c r="Q3715" s="508" t="s">
        <v>258</v>
      </c>
      <c r="R3715" s="621">
        <f t="shared" si="366"/>
        <v>400</v>
      </c>
      <c r="S3715" s="474">
        <v>14.43</v>
      </c>
      <c r="T3715" s="471" t="s">
        <v>913</v>
      </c>
      <c r="U3715" s="607" t="s">
        <v>4121</v>
      </c>
      <c r="V3715" s="471">
        <f>V3701</f>
        <v>325</v>
      </c>
      <c r="W3715" s="476" t="s">
        <v>913</v>
      </c>
      <c r="X3715" s="471">
        <f>V3715*S3715</f>
        <v>4689.75</v>
      </c>
      <c r="Y3715" s="471"/>
    </row>
    <row r="3716" spans="6:25" ht="20.25" customHeight="1">
      <c r="F3716" s="508">
        <v>9</v>
      </c>
      <c r="G3716" s="508" t="s">
        <v>2283</v>
      </c>
      <c r="H3716" s="567" t="s">
        <v>5363</v>
      </c>
      <c r="I3716" s="362">
        <v>648</v>
      </c>
      <c r="J3716" s="508" t="str">
        <f>G3716</f>
        <v>Sqm</v>
      </c>
      <c r="K3716" s="508">
        <f>I3716*F3716</f>
        <v>5832</v>
      </c>
      <c r="L3716" s="614"/>
      <c r="M3716" s="508">
        <v>2.25</v>
      </c>
      <c r="N3716" s="508" t="s">
        <v>1645</v>
      </c>
      <c r="O3716" s="567" t="s">
        <v>5364</v>
      </c>
      <c r="P3716" s="362">
        <v>199.75</v>
      </c>
      <c r="Q3716" s="508" t="s">
        <v>1645</v>
      </c>
      <c r="R3716" s="621">
        <f t="shared" si="366"/>
        <v>449.44</v>
      </c>
      <c r="S3716" s="609">
        <v>10.433999999999999</v>
      </c>
      <c r="T3716" s="471" t="s">
        <v>826</v>
      </c>
      <c r="U3716" s="475" t="s">
        <v>4040</v>
      </c>
      <c r="V3716" s="471">
        <f t="shared" ref="V3716:V3721" si="367">V3702</f>
        <v>38.25</v>
      </c>
      <c r="W3716" s="476" t="s">
        <v>826</v>
      </c>
      <c r="X3716" s="471">
        <v>501.66</v>
      </c>
      <c r="Y3716" s="471"/>
    </row>
    <row r="3717" spans="6:25" ht="20.25" customHeight="1">
      <c r="F3717" s="508">
        <v>9</v>
      </c>
      <c r="G3717" s="508" t="s">
        <v>2283</v>
      </c>
      <c r="H3717" s="614" t="s">
        <v>4053</v>
      </c>
      <c r="I3717" s="508">
        <f>K3725</f>
        <v>1799</v>
      </c>
      <c r="J3717" s="508" t="str">
        <f>G3717</f>
        <v>Sqm</v>
      </c>
      <c r="K3717" s="508">
        <f>I3717*F3717</f>
        <v>16191</v>
      </c>
      <c r="L3717" s="614"/>
      <c r="M3717" s="508">
        <v>9.4</v>
      </c>
      <c r="N3717" s="508" t="s">
        <v>2283</v>
      </c>
      <c r="O3717" s="614" t="s">
        <v>4053</v>
      </c>
      <c r="P3717" s="508">
        <f>R3725</f>
        <v>2753.5</v>
      </c>
      <c r="Q3717" s="508" t="s">
        <v>2283</v>
      </c>
      <c r="R3717" s="621">
        <f t="shared" si="366"/>
        <v>25882.9</v>
      </c>
      <c r="S3717" s="474">
        <v>2.16</v>
      </c>
      <c r="T3717" s="471" t="s">
        <v>233</v>
      </c>
      <c r="U3717" s="475" t="s">
        <v>4217</v>
      </c>
      <c r="V3717" s="471">
        <f t="shared" si="367"/>
        <v>306.89999999999998</v>
      </c>
      <c r="W3717" s="476" t="s">
        <v>233</v>
      </c>
      <c r="X3717" s="471">
        <f>V3717*S3717</f>
        <v>662.9</v>
      </c>
      <c r="Y3717" s="471"/>
    </row>
    <row r="3718" spans="6:25" ht="20.25" customHeight="1">
      <c r="F3718" s="614"/>
      <c r="G3718" s="614"/>
      <c r="H3718" s="614"/>
      <c r="I3718" s="614"/>
      <c r="J3718" s="614"/>
      <c r="K3718" s="508">
        <f>SUM(K3713:K3717)</f>
        <v>34165.800000000003</v>
      </c>
      <c r="L3718" s="614"/>
      <c r="M3718" s="508">
        <v>0.25</v>
      </c>
      <c r="N3718" s="508" t="s">
        <v>1645</v>
      </c>
      <c r="O3718" s="614" t="s">
        <v>5365</v>
      </c>
      <c r="P3718" s="362">
        <v>64</v>
      </c>
      <c r="Q3718" s="508" t="s">
        <v>1645</v>
      </c>
      <c r="R3718" s="621">
        <f t="shared" si="366"/>
        <v>16</v>
      </c>
      <c r="S3718" s="474">
        <v>6</v>
      </c>
      <c r="T3718" s="471" t="s">
        <v>1432</v>
      </c>
      <c r="U3718" s="475" t="s">
        <v>4219</v>
      </c>
      <c r="V3718" s="471">
        <f t="shared" si="367"/>
        <v>14.6</v>
      </c>
      <c r="W3718" s="476" t="s">
        <v>1432</v>
      </c>
      <c r="X3718" s="471">
        <f>V3718*S3718</f>
        <v>87.6</v>
      </c>
      <c r="Y3718" s="477"/>
    </row>
    <row r="3719" spans="6:25" ht="20.25" customHeight="1">
      <c r="F3719" s="614"/>
      <c r="G3719" s="614"/>
      <c r="H3719" s="614" t="s">
        <v>4054</v>
      </c>
      <c r="I3719" s="614"/>
      <c r="J3719" s="508"/>
      <c r="K3719" s="508">
        <f>K3718/9</f>
        <v>3796.2</v>
      </c>
      <c r="L3719" s="614"/>
      <c r="M3719" s="614"/>
      <c r="N3719" s="614"/>
      <c r="O3719" s="614" t="s">
        <v>4724</v>
      </c>
      <c r="P3719" s="614"/>
      <c r="Q3719" s="508"/>
      <c r="R3719" s="508">
        <f>SUM(R3712:R3718)</f>
        <v>42340.94</v>
      </c>
      <c r="S3719" s="474">
        <v>2</v>
      </c>
      <c r="T3719" s="471" t="s">
        <v>1432</v>
      </c>
      <c r="U3719" s="475" t="s">
        <v>4218</v>
      </c>
      <c r="V3719" s="471">
        <f t="shared" si="367"/>
        <v>71.099999999999994</v>
      </c>
      <c r="W3719" s="476" t="s">
        <v>222</v>
      </c>
      <c r="X3719" s="471">
        <f>V3719*S3719</f>
        <v>142.19999999999999</v>
      </c>
      <c r="Y3719" s="471"/>
    </row>
    <row r="3720" spans="6:25" ht="20.25" customHeight="1">
      <c r="F3720" s="614"/>
      <c r="G3720" s="614"/>
      <c r="H3720" s="627" t="s">
        <v>4055</v>
      </c>
      <c r="I3720" s="619" t="s">
        <v>4056</v>
      </c>
      <c r="J3720" s="614"/>
      <c r="K3720" s="574">
        <v>3282</v>
      </c>
      <c r="L3720" s="614"/>
      <c r="M3720" s="614"/>
      <c r="N3720" s="614"/>
      <c r="O3720" s="627" t="s">
        <v>4055</v>
      </c>
      <c r="P3720" s="619" t="s">
        <v>4056</v>
      </c>
      <c r="Q3720" s="614"/>
      <c r="R3720" s="574">
        <f>R3719/M3717</f>
        <v>4504.3599999999997</v>
      </c>
      <c r="S3720" s="474">
        <v>3</v>
      </c>
      <c r="T3720" s="471" t="s">
        <v>1432</v>
      </c>
      <c r="U3720" s="475" t="s">
        <v>4220</v>
      </c>
      <c r="V3720" s="471">
        <f t="shared" si="367"/>
        <v>35.299999999999997</v>
      </c>
      <c r="W3720" s="476" t="s">
        <v>769</v>
      </c>
      <c r="X3720" s="471">
        <f>V3720*S3720</f>
        <v>105.9</v>
      </c>
      <c r="Y3720" s="471"/>
    </row>
    <row r="3721" spans="6:25" ht="20.25" customHeight="1">
      <c r="F3721" s="614"/>
      <c r="G3721" s="614"/>
      <c r="H3721" s="614" t="s">
        <v>4057</v>
      </c>
      <c r="I3721" s="614"/>
      <c r="J3721" s="614"/>
      <c r="K3721" s="614"/>
      <c r="L3721" s="614"/>
      <c r="M3721" s="614"/>
      <c r="N3721" s="614"/>
      <c r="O3721" s="614" t="s">
        <v>4057</v>
      </c>
      <c r="P3721" s="614"/>
      <c r="Q3721" s="614"/>
      <c r="R3721" s="614"/>
      <c r="S3721" s="474">
        <v>1.823</v>
      </c>
      <c r="T3721" s="471" t="s">
        <v>2283</v>
      </c>
      <c r="U3721" s="475" t="s">
        <v>3922</v>
      </c>
      <c r="V3721" s="471">
        <f t="shared" si="367"/>
        <v>1998</v>
      </c>
      <c r="W3721" s="476" t="s">
        <v>2283</v>
      </c>
      <c r="X3721" s="471">
        <f>V3721*S3721</f>
        <v>3642.35</v>
      </c>
      <c r="Y3721" s="471"/>
    </row>
    <row r="3722" spans="6:25" ht="20.25" customHeight="1">
      <c r="F3722" s="508">
        <v>1</v>
      </c>
      <c r="G3722" s="508" t="s">
        <v>258</v>
      </c>
      <c r="H3722" s="508" t="s">
        <v>4058</v>
      </c>
      <c r="I3722" s="508">
        <f>AE17</f>
        <v>881</v>
      </c>
      <c r="J3722" s="508" t="s">
        <v>258</v>
      </c>
      <c r="K3722" s="614">
        <f>I3722*F3722</f>
        <v>881</v>
      </c>
      <c r="L3722" s="614"/>
      <c r="M3722" s="508">
        <v>1</v>
      </c>
      <c r="N3722" s="508" t="s">
        <v>258</v>
      </c>
      <c r="O3722" s="508" t="s">
        <v>4075</v>
      </c>
      <c r="P3722" s="508">
        <f>AE19</f>
        <v>976</v>
      </c>
      <c r="Q3722" s="508" t="s">
        <v>258</v>
      </c>
      <c r="R3722" s="553">
        <f>P3722*M3722</f>
        <v>976</v>
      </c>
      <c r="S3722" s="274"/>
      <c r="T3722" s="274" t="s">
        <v>657</v>
      </c>
      <c r="U3722" s="274" t="s">
        <v>4216</v>
      </c>
      <c r="V3722" s="274"/>
      <c r="W3722" s="255" t="s">
        <v>657</v>
      </c>
      <c r="X3722" s="274">
        <v>110</v>
      </c>
      <c r="Y3722" s="471"/>
    </row>
    <row r="3723" spans="6:25" ht="20.25" customHeight="1">
      <c r="F3723" s="508">
        <v>1</v>
      </c>
      <c r="G3723" s="508" t="s">
        <v>258</v>
      </c>
      <c r="H3723" s="567" t="s">
        <v>1902</v>
      </c>
      <c r="I3723" s="508">
        <f>AE11</f>
        <v>651</v>
      </c>
      <c r="J3723" s="508" t="s">
        <v>258</v>
      </c>
      <c r="K3723" s="614">
        <f>I3723*F3723</f>
        <v>651</v>
      </c>
      <c r="L3723" s="614"/>
      <c r="M3723" s="508">
        <v>1.5</v>
      </c>
      <c r="N3723" s="508" t="s">
        <v>258</v>
      </c>
      <c r="O3723" s="567" t="s">
        <v>1902</v>
      </c>
      <c r="P3723" s="508">
        <f>I3723</f>
        <v>651</v>
      </c>
      <c r="Q3723" s="508" t="s">
        <v>258</v>
      </c>
      <c r="R3723" s="553">
        <f>P3723*M3723</f>
        <v>976.5</v>
      </c>
      <c r="S3723" s="274"/>
      <c r="T3723" s="274"/>
      <c r="U3723" s="274"/>
      <c r="V3723" s="274"/>
      <c r="W3723" s="255"/>
      <c r="X3723" s="274">
        <f>SUM(X3715:X3722)</f>
        <v>9942.36</v>
      </c>
      <c r="Y3723" s="471"/>
    </row>
    <row r="3724" spans="6:25" ht="20.25" customHeight="1">
      <c r="F3724" s="508">
        <v>0.5</v>
      </c>
      <c r="G3724" s="508" t="s">
        <v>258</v>
      </c>
      <c r="H3724" s="567" t="s">
        <v>320</v>
      </c>
      <c r="I3724" s="508">
        <f>AE12</f>
        <v>534</v>
      </c>
      <c r="J3724" s="508" t="s">
        <v>258</v>
      </c>
      <c r="K3724" s="614">
        <f>I3724*F3724</f>
        <v>267</v>
      </c>
      <c r="L3724" s="614"/>
      <c r="M3724" s="508">
        <v>1.5</v>
      </c>
      <c r="N3724" s="508" t="s">
        <v>258</v>
      </c>
      <c r="O3724" s="567" t="s">
        <v>320</v>
      </c>
      <c r="P3724" s="508">
        <f>I3724</f>
        <v>534</v>
      </c>
      <c r="Q3724" s="508" t="s">
        <v>258</v>
      </c>
      <c r="R3724" s="553">
        <f>P3724*M3724</f>
        <v>801</v>
      </c>
      <c r="W3724" s="253"/>
      <c r="X3724" s="274">
        <f>X3723/S3721</f>
        <v>5453.85</v>
      </c>
      <c r="Y3724" s="471"/>
    </row>
    <row r="3725" spans="6:25" ht="20.25" customHeight="1">
      <c r="F3725" s="614"/>
      <c r="G3725" s="614"/>
      <c r="H3725" s="614"/>
      <c r="I3725" s="614"/>
      <c r="J3725" s="614"/>
      <c r="K3725" s="614">
        <f>SUM(K3722:K3724)</f>
        <v>1799</v>
      </c>
      <c r="L3725" s="614"/>
      <c r="M3725" s="614"/>
      <c r="N3725" s="614"/>
      <c r="O3725" s="614"/>
      <c r="P3725" s="614"/>
      <c r="Q3725" s="614"/>
      <c r="R3725" s="553">
        <f>SUM(R3722:R3724)</f>
        <v>2753.5</v>
      </c>
      <c r="W3725" s="253"/>
      <c r="X3725" s="252">
        <v>3873</v>
      </c>
      <c r="Y3725" s="471"/>
    </row>
    <row r="3726" spans="6:25" ht="20.25" customHeight="1">
      <c r="F3726" s="614"/>
      <c r="G3726" s="614"/>
      <c r="H3726" s="614"/>
      <c r="I3726" s="614"/>
      <c r="J3726" s="614"/>
      <c r="K3726" s="614"/>
      <c r="L3726" s="614"/>
      <c r="M3726" s="614"/>
      <c r="N3726" s="614"/>
      <c r="O3726" s="614"/>
      <c r="P3726" s="614"/>
      <c r="Q3726" s="614"/>
      <c r="R3726" s="614"/>
      <c r="S3726" s="471"/>
      <c r="T3726" s="471"/>
      <c r="U3726" s="471"/>
      <c r="V3726" s="471"/>
      <c r="W3726" s="476"/>
      <c r="X3726" s="480"/>
      <c r="Y3726" s="471"/>
    </row>
    <row r="3727" spans="6:25" ht="20.25" customHeight="1">
      <c r="F3727" s="614"/>
      <c r="G3727" s="614"/>
      <c r="H3727" s="614"/>
      <c r="I3727" s="614"/>
      <c r="J3727" s="614"/>
      <c r="K3727" s="614"/>
      <c r="L3727" s="614"/>
      <c r="M3727" s="614"/>
      <c r="N3727" s="614"/>
      <c r="S3727" s="252"/>
      <c r="W3727" s="253"/>
    </row>
    <row r="3728" spans="6:25" ht="20.25" customHeight="1">
      <c r="H3728" s="407"/>
      <c r="J3728" s="252"/>
      <c r="K3728" s="614"/>
      <c r="L3728" s="614"/>
      <c r="M3728" s="614"/>
      <c r="N3728" s="614"/>
      <c r="W3728" s="253"/>
    </row>
    <row r="3729" spans="6:23" ht="20.25" customHeight="1">
      <c r="F3729" s="614"/>
      <c r="G3729" s="614"/>
      <c r="H3729" s="628" t="s">
        <v>4061</v>
      </c>
      <c r="I3729" s="619"/>
      <c r="J3729" s="614"/>
      <c r="K3729" s="614"/>
      <c r="L3729" s="614"/>
      <c r="M3729" s="614"/>
      <c r="N3729" s="614"/>
      <c r="W3729" s="253"/>
    </row>
    <row r="3730" spans="6:23" ht="20.25" customHeight="1">
      <c r="F3730" s="614"/>
      <c r="G3730" s="614"/>
      <c r="H3730" s="614"/>
      <c r="I3730" s="614"/>
      <c r="J3730" s="614"/>
      <c r="K3730" s="614"/>
      <c r="L3730" s="614"/>
      <c r="M3730" s="614"/>
      <c r="N3730" s="614"/>
      <c r="W3730" s="253"/>
    </row>
    <row r="3731" spans="6:23" ht="20.25" customHeight="1">
      <c r="F3731" s="508"/>
      <c r="G3731" s="508"/>
      <c r="H3731" s="629" t="s">
        <v>6150</v>
      </c>
      <c r="I3731" s="508"/>
      <c r="J3731" s="508"/>
      <c r="K3731" s="614"/>
      <c r="L3731" s="614"/>
      <c r="M3731" s="614"/>
      <c r="N3731" s="614"/>
      <c r="W3731" s="253"/>
    </row>
    <row r="3732" spans="6:23" ht="20.25" customHeight="1">
      <c r="F3732" s="508"/>
      <c r="G3732" s="508"/>
      <c r="H3732" s="567"/>
      <c r="I3732" s="508"/>
      <c r="J3732" s="508"/>
      <c r="K3732" s="614"/>
      <c r="L3732" s="614"/>
      <c r="M3732" s="614"/>
      <c r="N3732" s="614"/>
      <c r="W3732" s="253"/>
    </row>
    <row r="3733" spans="6:23" ht="20.25" customHeight="1">
      <c r="F3733" s="614"/>
      <c r="G3733" s="614"/>
      <c r="H3733" s="276" t="s">
        <v>5366</v>
      </c>
      <c r="I3733" s="508"/>
      <c r="J3733" s="614"/>
      <c r="K3733" s="614"/>
      <c r="L3733" s="614"/>
      <c r="M3733" s="614"/>
      <c r="N3733" s="614"/>
      <c r="W3733" s="253"/>
    </row>
    <row r="3734" spans="6:23" ht="20.25" customHeight="1">
      <c r="F3734" s="508">
        <v>5</v>
      </c>
      <c r="G3734" s="508" t="s">
        <v>1645</v>
      </c>
      <c r="H3734" s="508" t="s">
        <v>5367</v>
      </c>
      <c r="I3734" s="362">
        <v>27.45</v>
      </c>
      <c r="J3734" s="508" t="s">
        <v>1645</v>
      </c>
      <c r="K3734" s="508">
        <f>I3734*F3734</f>
        <v>137.25</v>
      </c>
      <c r="L3734" s="614"/>
      <c r="M3734" s="614"/>
      <c r="N3734" s="614"/>
      <c r="W3734" s="253"/>
    </row>
    <row r="3735" spans="6:23" ht="20.25" customHeight="1">
      <c r="F3735" s="508">
        <v>1</v>
      </c>
      <c r="G3735" s="508" t="s">
        <v>1394</v>
      </c>
      <c r="H3735" s="508" t="s">
        <v>4062</v>
      </c>
      <c r="I3735" s="508">
        <f>AE13</f>
        <v>797</v>
      </c>
      <c r="J3735" s="508" t="s">
        <v>1394</v>
      </c>
      <c r="K3735" s="508">
        <f>I3735*F3735</f>
        <v>797</v>
      </c>
      <c r="L3735" s="614"/>
      <c r="M3735" s="614"/>
      <c r="N3735" s="614"/>
      <c r="W3735" s="253"/>
    </row>
    <row r="3736" spans="6:23" ht="20.25" customHeight="1">
      <c r="F3736" s="508"/>
      <c r="G3736" s="567" t="s">
        <v>657</v>
      </c>
      <c r="H3736" s="567" t="s">
        <v>3039</v>
      </c>
      <c r="I3736" s="614"/>
      <c r="J3736" s="567" t="s">
        <v>657</v>
      </c>
      <c r="K3736" s="508">
        <f>(121.1+90.9)/12</f>
        <v>17.670000000000002</v>
      </c>
      <c r="L3736" s="614"/>
      <c r="M3736" s="614"/>
      <c r="N3736" s="614"/>
      <c r="W3736" s="253"/>
    </row>
    <row r="3737" spans="6:23" ht="20.25" customHeight="1">
      <c r="F3737" s="614"/>
      <c r="G3737" s="614"/>
      <c r="H3737" s="567" t="s">
        <v>1459</v>
      </c>
      <c r="I3737" s="614"/>
      <c r="J3737" s="614"/>
      <c r="K3737" s="630">
        <f>SUM(K3734:K3736)</f>
        <v>951.92</v>
      </c>
      <c r="L3737" s="614"/>
      <c r="M3737" s="614"/>
      <c r="N3737" s="614"/>
      <c r="W3737" s="253"/>
    </row>
    <row r="3738" spans="6:23" ht="20.25" customHeight="1">
      <c r="F3738" s="614"/>
      <c r="G3738" s="614"/>
      <c r="H3738" s="567" t="s">
        <v>3225</v>
      </c>
      <c r="I3738" s="614"/>
      <c r="J3738" s="614"/>
      <c r="K3738" s="631">
        <f>K3737/10</f>
        <v>95.19</v>
      </c>
      <c r="L3738" s="614"/>
      <c r="M3738" s="614"/>
      <c r="N3738" s="614"/>
      <c r="W3738" s="253"/>
    </row>
    <row r="3739" spans="6:23" ht="20.25" customHeight="1">
      <c r="W3739" s="253"/>
    </row>
    <row r="3740" spans="6:23" ht="20.25" customHeight="1">
      <c r="W3740" s="253"/>
    </row>
    <row r="3741" spans="6:23" ht="20.25" customHeight="1">
      <c r="F3741" s="614"/>
      <c r="G3741" s="614"/>
      <c r="H3741" s="614"/>
      <c r="I3741" s="614"/>
      <c r="J3741" s="614"/>
      <c r="K3741" s="614"/>
      <c r="L3741" s="614"/>
      <c r="M3741" s="614"/>
      <c r="N3741" s="614"/>
      <c r="W3741" s="253"/>
    </row>
    <row r="3742" spans="6:23" ht="20.25" customHeight="1">
      <c r="F3742" s="508"/>
      <c r="G3742" s="508"/>
      <c r="H3742" s="629" t="s">
        <v>4063</v>
      </c>
      <c r="I3742" s="508"/>
      <c r="J3742" s="508"/>
      <c r="K3742" s="614"/>
      <c r="L3742" s="614"/>
      <c r="M3742" s="614"/>
      <c r="N3742" s="614"/>
      <c r="W3742" s="253"/>
    </row>
    <row r="3743" spans="6:23" ht="20.25" customHeight="1">
      <c r="F3743" s="508" t="s">
        <v>1038</v>
      </c>
      <c r="G3743" s="508" t="s">
        <v>222</v>
      </c>
      <c r="H3743" s="567"/>
      <c r="I3743" s="508" t="s">
        <v>97</v>
      </c>
      <c r="J3743" s="508" t="s">
        <v>222</v>
      </c>
      <c r="K3743" s="508" t="s">
        <v>974</v>
      </c>
      <c r="L3743" s="614"/>
      <c r="M3743" s="614"/>
      <c r="N3743" s="614"/>
      <c r="W3743" s="253"/>
    </row>
    <row r="3744" spans="6:23" ht="20.25" customHeight="1">
      <c r="F3744" s="508"/>
      <c r="G3744" s="508"/>
      <c r="H3744" s="567"/>
      <c r="I3744" s="508"/>
      <c r="J3744" s="508"/>
      <c r="K3744" s="614"/>
      <c r="L3744" s="614"/>
      <c r="M3744" s="614"/>
      <c r="N3744" s="614"/>
      <c r="W3744" s="253"/>
    </row>
    <row r="3745" spans="6:23" ht="20.25" customHeight="1">
      <c r="F3745" s="508">
        <v>0.15</v>
      </c>
      <c r="G3745" s="508" t="s">
        <v>2151</v>
      </c>
      <c r="H3745" s="632" t="s">
        <v>4271</v>
      </c>
      <c r="I3745" s="362">
        <f>I3639</f>
        <v>2573.4499999999998</v>
      </c>
      <c r="J3745" s="508" t="s">
        <v>2151</v>
      </c>
      <c r="K3745" s="508">
        <f t="shared" ref="K3745:K3750" si="368">I3745*F3745</f>
        <v>386.02</v>
      </c>
      <c r="L3745" s="614"/>
      <c r="M3745" s="614"/>
      <c r="N3745" s="614"/>
      <c r="W3745" s="253"/>
    </row>
    <row r="3746" spans="6:23" ht="20.25" customHeight="1">
      <c r="F3746" s="633">
        <v>7.1999999999999995E-2</v>
      </c>
      <c r="G3746" s="508" t="s">
        <v>528</v>
      </c>
      <c r="H3746" s="567" t="s">
        <v>390</v>
      </c>
      <c r="I3746" s="508">
        <f>I9</f>
        <v>6040</v>
      </c>
      <c r="J3746" s="508" t="s">
        <v>528</v>
      </c>
      <c r="K3746" s="508">
        <f t="shared" si="368"/>
        <v>434.88</v>
      </c>
      <c r="L3746" s="614"/>
      <c r="M3746" s="614"/>
      <c r="N3746" s="614"/>
      <c r="W3746" s="253"/>
    </row>
    <row r="3747" spans="6:23" ht="20.25" customHeight="1">
      <c r="F3747" s="508">
        <v>14.5</v>
      </c>
      <c r="G3747" s="508" t="s">
        <v>913</v>
      </c>
      <c r="H3747" s="276" t="s">
        <v>3966</v>
      </c>
      <c r="I3747" s="362">
        <f>P2433</f>
        <v>24.93</v>
      </c>
      <c r="J3747" s="508" t="s">
        <v>913</v>
      </c>
      <c r="K3747" s="508">
        <f t="shared" si="368"/>
        <v>361.49</v>
      </c>
      <c r="L3747" s="614"/>
      <c r="M3747" s="614"/>
      <c r="N3747" s="614"/>
      <c r="W3747" s="253"/>
    </row>
    <row r="3748" spans="6:23" ht="20.25" customHeight="1">
      <c r="F3748" s="508">
        <v>1.6</v>
      </c>
      <c r="G3748" s="508" t="s">
        <v>258</v>
      </c>
      <c r="H3748" s="508" t="s">
        <v>4064</v>
      </c>
      <c r="I3748" s="508">
        <f>AE9</f>
        <v>999</v>
      </c>
      <c r="J3748" s="508" t="s">
        <v>258</v>
      </c>
      <c r="K3748" s="508">
        <f t="shared" si="368"/>
        <v>1598.4</v>
      </c>
      <c r="L3748" s="614"/>
      <c r="M3748" s="614"/>
      <c r="N3748" s="614"/>
      <c r="W3748" s="253"/>
    </row>
    <row r="3749" spans="6:23" ht="20.25" customHeight="1">
      <c r="F3749" s="508">
        <v>0.5</v>
      </c>
      <c r="G3749" s="508" t="s">
        <v>258</v>
      </c>
      <c r="H3749" s="567" t="s">
        <v>1902</v>
      </c>
      <c r="I3749" s="508">
        <f>AE11</f>
        <v>651</v>
      </c>
      <c r="J3749" s="508" t="s">
        <v>258</v>
      </c>
      <c r="K3749" s="508">
        <f t="shared" si="368"/>
        <v>325.5</v>
      </c>
      <c r="L3749" s="614"/>
      <c r="M3749" s="614"/>
      <c r="N3749" s="614"/>
      <c r="W3749" s="253"/>
    </row>
    <row r="3750" spans="6:23" ht="20.25" customHeight="1">
      <c r="F3750" s="508">
        <v>1.1000000000000001</v>
      </c>
      <c r="G3750" s="508" t="s">
        <v>258</v>
      </c>
      <c r="H3750" s="567" t="s">
        <v>320</v>
      </c>
      <c r="I3750" s="508">
        <f>AE12</f>
        <v>534</v>
      </c>
      <c r="J3750" s="508" t="s">
        <v>258</v>
      </c>
      <c r="K3750" s="508">
        <f t="shared" si="368"/>
        <v>587.4</v>
      </c>
      <c r="L3750" s="614"/>
      <c r="M3750" s="614"/>
      <c r="N3750" s="614"/>
      <c r="W3750" s="253"/>
    </row>
    <row r="3751" spans="6:23" ht="20.25" customHeight="1">
      <c r="F3751" s="508"/>
      <c r="G3751" s="508"/>
      <c r="H3751" s="567" t="s">
        <v>3039</v>
      </c>
      <c r="I3751" s="634" t="s">
        <v>657</v>
      </c>
      <c r="J3751" s="508"/>
      <c r="K3751" s="508">
        <v>52.63</v>
      </c>
      <c r="L3751" s="614"/>
      <c r="M3751" s="614"/>
      <c r="N3751" s="614"/>
      <c r="W3751" s="253"/>
    </row>
    <row r="3752" spans="6:23" ht="20.25" customHeight="1">
      <c r="F3752" s="508"/>
      <c r="G3752" s="508"/>
      <c r="H3752" s="567" t="s">
        <v>1459</v>
      </c>
      <c r="I3752" s="614"/>
      <c r="J3752" s="614"/>
      <c r="K3752" s="508">
        <f>SUM(K3745:K3751)</f>
        <v>3746.32</v>
      </c>
      <c r="L3752" s="614"/>
      <c r="M3752" s="614"/>
      <c r="N3752" s="614"/>
      <c r="W3752" s="253"/>
    </row>
    <row r="3753" spans="6:23" ht="20.25" customHeight="1">
      <c r="F3753" s="614"/>
      <c r="G3753" s="614"/>
      <c r="H3753" s="567" t="s">
        <v>3225</v>
      </c>
      <c r="I3753" s="614"/>
      <c r="J3753" s="614"/>
      <c r="K3753" s="574">
        <f>K3752/10</f>
        <v>374.63</v>
      </c>
      <c r="L3753" s="614"/>
      <c r="M3753" s="614"/>
      <c r="N3753" s="614"/>
      <c r="W3753" s="253"/>
    </row>
    <row r="3754" spans="6:23" ht="20.25" customHeight="1">
      <c r="F3754" s="614"/>
      <c r="G3754" s="614"/>
      <c r="H3754" s="614"/>
      <c r="I3754" s="614"/>
      <c r="J3754" s="614"/>
      <c r="K3754" s="614"/>
      <c r="L3754" s="614"/>
      <c r="M3754" s="614"/>
      <c r="N3754" s="614"/>
      <c r="W3754" s="253"/>
    </row>
    <row r="3755" spans="6:23" ht="20.25" customHeight="1">
      <c r="F3755" s="369"/>
      <c r="G3755" s="252" t="s">
        <v>2251</v>
      </c>
      <c r="I3755" s="635"/>
      <c r="J3755" s="636"/>
      <c r="W3755" s="253"/>
    </row>
    <row r="3756" spans="6:23" ht="20.25" customHeight="1">
      <c r="H3756" s="296"/>
      <c r="W3756" s="253"/>
    </row>
    <row r="3757" spans="6:23" ht="20.25" customHeight="1">
      <c r="H3757" s="636" t="s">
        <v>4065</v>
      </c>
      <c r="W3757" s="253"/>
    </row>
    <row r="3758" spans="6:23" ht="20.25" customHeight="1">
      <c r="H3758" s="358" t="s">
        <v>1586</v>
      </c>
      <c r="W3758" s="253"/>
    </row>
    <row r="3759" spans="6:23" ht="20.25" customHeight="1">
      <c r="F3759" s="252">
        <v>21.55</v>
      </c>
      <c r="G3759" s="252" t="s">
        <v>1645</v>
      </c>
      <c r="H3759" s="296" t="s">
        <v>4066</v>
      </c>
      <c r="I3759" s="252">
        <f>I3781</f>
        <v>325</v>
      </c>
      <c r="J3759" s="252" t="s">
        <v>1645</v>
      </c>
      <c r="K3759" s="252">
        <f>I3759*F3759</f>
        <v>7003.75</v>
      </c>
      <c r="W3759" s="253"/>
    </row>
    <row r="3760" spans="6:23" ht="20.25" customHeight="1">
      <c r="H3760" s="296" t="s">
        <v>4067</v>
      </c>
      <c r="J3760" s="252"/>
      <c r="K3760" s="252">
        <f>K3759*10/100</f>
        <v>700.38</v>
      </c>
      <c r="W3760" s="253"/>
    </row>
    <row r="3761" spans="6:23" ht="20.25" customHeight="1">
      <c r="F3761" s="252">
        <v>3.7</v>
      </c>
      <c r="G3761" s="252" t="s">
        <v>1645</v>
      </c>
      <c r="H3761" s="296" t="s">
        <v>4068</v>
      </c>
      <c r="I3761" s="252">
        <f>Y32</f>
        <v>58000</v>
      </c>
      <c r="J3761" s="252" t="s">
        <v>528</v>
      </c>
      <c r="K3761" s="252">
        <f>I3761*F3761/10000</f>
        <v>21.46</v>
      </c>
      <c r="W3761" s="253"/>
    </row>
    <row r="3762" spans="6:23" ht="20.25" customHeight="1">
      <c r="F3762" s="614"/>
      <c r="G3762" s="614"/>
      <c r="H3762" s="296" t="s">
        <v>4069</v>
      </c>
      <c r="K3762" s="252">
        <f>K3761*5/100</f>
        <v>1.07</v>
      </c>
      <c r="W3762" s="253"/>
    </row>
    <row r="3763" spans="6:23" ht="20.25" customHeight="1">
      <c r="F3763" s="252">
        <v>18</v>
      </c>
      <c r="G3763" s="252" t="s">
        <v>1873</v>
      </c>
      <c r="H3763" s="296" t="s">
        <v>4070</v>
      </c>
      <c r="I3763" s="436">
        <v>15</v>
      </c>
      <c r="J3763" s="252" t="s">
        <v>1432</v>
      </c>
      <c r="K3763" s="252">
        <f>I3763*F3763</f>
        <v>270</v>
      </c>
      <c r="W3763" s="253"/>
    </row>
    <row r="3764" spans="6:23" ht="20.25" customHeight="1">
      <c r="H3764" s="296" t="s">
        <v>4071</v>
      </c>
      <c r="K3764" s="252">
        <f>K3763*10/100</f>
        <v>27</v>
      </c>
      <c r="W3764" s="253"/>
    </row>
    <row r="3765" spans="6:23" ht="20.25" customHeight="1">
      <c r="F3765" s="252">
        <v>28</v>
      </c>
      <c r="G3765" s="252" t="s">
        <v>1873</v>
      </c>
      <c r="H3765" s="296" t="s">
        <v>4072</v>
      </c>
      <c r="I3765" s="436">
        <v>1</v>
      </c>
      <c r="J3765" s="252" t="s">
        <v>1873</v>
      </c>
      <c r="K3765" s="252">
        <f>I3765*F3765</f>
        <v>28</v>
      </c>
      <c r="W3765" s="253"/>
    </row>
    <row r="3766" spans="6:23" ht="20.25" customHeight="1">
      <c r="F3766" s="252">
        <v>28</v>
      </c>
      <c r="G3766" s="252" t="s">
        <v>1873</v>
      </c>
      <c r="H3766" s="296" t="s">
        <v>4073</v>
      </c>
      <c r="I3766" s="436">
        <v>2</v>
      </c>
      <c r="J3766" s="252" t="s">
        <v>1873</v>
      </c>
      <c r="K3766" s="252">
        <f>I3766*F3766</f>
        <v>56</v>
      </c>
      <c r="W3766" s="253"/>
    </row>
    <row r="3767" spans="6:23" ht="20.25" customHeight="1">
      <c r="F3767" s="252">
        <v>4</v>
      </c>
      <c r="G3767" s="252" t="s">
        <v>1873</v>
      </c>
      <c r="H3767" s="296" t="s">
        <v>4074</v>
      </c>
      <c r="I3767" s="252">
        <f>AE17</f>
        <v>881</v>
      </c>
      <c r="J3767" s="252" t="s">
        <v>1873</v>
      </c>
      <c r="K3767" s="252">
        <f>I3767*F3767</f>
        <v>3524</v>
      </c>
      <c r="W3767" s="253"/>
    </row>
    <row r="3768" spans="6:23" ht="20.25" customHeight="1">
      <c r="F3768" s="252">
        <v>2</v>
      </c>
      <c r="G3768" s="252" t="s">
        <v>1873</v>
      </c>
      <c r="H3768" s="261" t="s">
        <v>4075</v>
      </c>
      <c r="I3768" s="252">
        <f>AE19</f>
        <v>976</v>
      </c>
      <c r="J3768" s="252" t="s">
        <v>1873</v>
      </c>
      <c r="K3768" s="252">
        <f>I3768*F3768</f>
        <v>1952</v>
      </c>
      <c r="W3768" s="253"/>
    </row>
    <row r="3769" spans="6:23" ht="20.25" customHeight="1">
      <c r="F3769" s="252">
        <v>6</v>
      </c>
      <c r="G3769" s="252" t="s">
        <v>1873</v>
      </c>
      <c r="H3769" s="261" t="s">
        <v>4076</v>
      </c>
      <c r="I3769" s="252">
        <f>AE11</f>
        <v>651</v>
      </c>
      <c r="J3769" s="252" t="s">
        <v>1873</v>
      </c>
      <c r="K3769" s="252">
        <f>I3769*F3769</f>
        <v>3906</v>
      </c>
      <c r="W3769" s="253"/>
    </row>
    <row r="3770" spans="6:23" ht="20.25" customHeight="1">
      <c r="G3770" s="252" t="s">
        <v>449</v>
      </c>
      <c r="H3770" s="296" t="s">
        <v>3039</v>
      </c>
      <c r="I3770" s="296" t="s">
        <v>975</v>
      </c>
      <c r="J3770" s="296" t="s">
        <v>449</v>
      </c>
      <c r="K3770" s="252">
        <v>5.38</v>
      </c>
      <c r="W3770" s="253"/>
    </row>
    <row r="3771" spans="6:23" ht="20.25" customHeight="1">
      <c r="H3771" s="296"/>
      <c r="J3771" s="252"/>
      <c r="W3771" s="253"/>
    </row>
    <row r="3772" spans="6:23" ht="20.25" customHeight="1">
      <c r="H3772" s="296" t="s">
        <v>4077</v>
      </c>
      <c r="K3772" s="252">
        <f>SUM(K3759:K3771)</f>
        <v>17495.04</v>
      </c>
      <c r="W3772" s="253"/>
    </row>
    <row r="3773" spans="6:23" ht="20.25" customHeight="1">
      <c r="K3773" s="358" t="s">
        <v>1586</v>
      </c>
      <c r="W3773" s="253"/>
    </row>
    <row r="3774" spans="6:23" ht="20.25" customHeight="1">
      <c r="H3774" s="360" t="s">
        <v>4078</v>
      </c>
      <c r="I3774" s="274"/>
      <c r="J3774" s="360" t="s">
        <v>721</v>
      </c>
      <c r="K3774" s="274">
        <f>K3772/18</f>
        <v>971.95</v>
      </c>
      <c r="W3774" s="253"/>
    </row>
    <row r="3775" spans="6:23" ht="20.25" customHeight="1">
      <c r="H3775" s="360"/>
      <c r="I3775" s="274"/>
      <c r="J3775" s="360"/>
      <c r="K3775" s="358" t="s">
        <v>1586</v>
      </c>
      <c r="W3775" s="253"/>
    </row>
    <row r="3776" spans="6:23" ht="20.25" customHeight="1">
      <c r="H3776" s="360"/>
      <c r="I3776" s="274"/>
      <c r="J3776" s="360"/>
      <c r="K3776" s="274"/>
      <c r="W3776" s="253"/>
    </row>
    <row r="3777" spans="6:23" ht="20.25" customHeight="1">
      <c r="F3777" s="614"/>
      <c r="G3777" s="614"/>
      <c r="H3777" s="637" t="s">
        <v>4329</v>
      </c>
      <c r="I3777" s="614"/>
      <c r="J3777" s="614"/>
      <c r="K3777" s="614"/>
      <c r="L3777" s="614"/>
      <c r="W3777" s="253"/>
    </row>
    <row r="3778" spans="6:23" ht="20.25" customHeight="1">
      <c r="G3778" s="477" t="s">
        <v>4037</v>
      </c>
      <c r="H3778" s="477"/>
      <c r="I3778" s="477"/>
      <c r="J3778" s="477"/>
      <c r="K3778" s="472"/>
      <c r="L3778" s="472"/>
      <c r="W3778" s="253"/>
    </row>
    <row r="3779" spans="6:23" ht="20.25" customHeight="1">
      <c r="G3779" s="474"/>
      <c r="H3779" s="471"/>
      <c r="I3779" s="472"/>
      <c r="J3779" s="471"/>
      <c r="K3779" s="471"/>
      <c r="L3779" s="471"/>
      <c r="W3779" s="253"/>
    </row>
    <row r="3780" spans="6:23" ht="20.25" customHeight="1">
      <c r="G3780" s="474"/>
      <c r="H3780" s="471"/>
      <c r="I3780" s="475"/>
      <c r="J3780" s="471"/>
      <c r="K3780" s="471"/>
      <c r="L3780" s="471"/>
      <c r="W3780" s="253"/>
    </row>
    <row r="3781" spans="6:23" ht="20.25" customHeight="1">
      <c r="F3781" s="474">
        <v>38.86</v>
      </c>
      <c r="G3781" s="471" t="s">
        <v>913</v>
      </c>
      <c r="H3781" s="475" t="s">
        <v>5368</v>
      </c>
      <c r="I3781" s="608">
        <v>325</v>
      </c>
      <c r="J3781" s="471" t="s">
        <v>913</v>
      </c>
      <c r="K3781" s="471">
        <f t="shared" ref="K3781:K3788" si="369">I3781*F3781</f>
        <v>12629.5</v>
      </c>
      <c r="L3781" s="471"/>
      <c r="W3781" s="253"/>
    </row>
    <row r="3782" spans="6:23" ht="20.25" customHeight="1">
      <c r="F3782" s="474">
        <v>2.4300000000000002</v>
      </c>
      <c r="G3782" s="638" t="s">
        <v>233</v>
      </c>
      <c r="H3782" s="639" t="s">
        <v>4038</v>
      </c>
      <c r="I3782" s="608">
        <v>362.5</v>
      </c>
      <c r="J3782" s="471" t="s">
        <v>233</v>
      </c>
      <c r="K3782" s="471">
        <f t="shared" si="369"/>
        <v>880.88</v>
      </c>
      <c r="L3782" s="471"/>
      <c r="W3782" s="253"/>
    </row>
    <row r="3783" spans="6:23" ht="20.25" customHeight="1">
      <c r="F3783" s="474">
        <v>4.8499999999999996</v>
      </c>
      <c r="G3783" s="638" t="s">
        <v>233</v>
      </c>
      <c r="H3783" s="639" t="s">
        <v>4039</v>
      </c>
      <c r="I3783" s="606">
        <v>695</v>
      </c>
      <c r="J3783" s="471" t="s">
        <v>769</v>
      </c>
      <c r="K3783" s="471">
        <f t="shared" si="369"/>
        <v>3370.75</v>
      </c>
      <c r="L3783" s="471"/>
      <c r="W3783" s="253"/>
    </row>
    <row r="3784" spans="6:23" ht="20.25" customHeight="1">
      <c r="F3784" s="609">
        <v>34.65</v>
      </c>
      <c r="G3784" s="638" t="s">
        <v>826</v>
      </c>
      <c r="H3784" s="639" t="s">
        <v>5901</v>
      </c>
      <c r="I3784" s="608">
        <v>38.25</v>
      </c>
      <c r="J3784" s="471" t="s">
        <v>826</v>
      </c>
      <c r="K3784" s="471">
        <f t="shared" si="369"/>
        <v>1325.36</v>
      </c>
      <c r="L3784" s="471"/>
      <c r="W3784" s="253"/>
    </row>
    <row r="3785" spans="6:23" ht="20.25" customHeight="1">
      <c r="F3785" s="512">
        <v>144</v>
      </c>
      <c r="G3785" s="640" t="s">
        <v>1873</v>
      </c>
      <c r="H3785" s="640" t="s">
        <v>5902</v>
      </c>
      <c r="I3785" s="598">
        <v>2.41</v>
      </c>
      <c r="J3785" s="513" t="s">
        <v>1394</v>
      </c>
      <c r="K3785" s="471">
        <f t="shared" si="369"/>
        <v>347.04</v>
      </c>
      <c r="L3785" s="471"/>
      <c r="W3785" s="253"/>
    </row>
    <row r="3786" spans="6:23" ht="20.25" customHeight="1">
      <c r="F3786" s="512">
        <v>12</v>
      </c>
      <c r="G3786" s="640" t="s">
        <v>1873</v>
      </c>
      <c r="H3786" s="640" t="s">
        <v>5903</v>
      </c>
      <c r="I3786" s="598">
        <v>4.88</v>
      </c>
      <c r="J3786" s="513" t="s">
        <v>1394</v>
      </c>
      <c r="K3786" s="471">
        <f t="shared" si="369"/>
        <v>58.56</v>
      </c>
      <c r="L3786" s="471"/>
      <c r="W3786" s="253"/>
    </row>
    <row r="3787" spans="6:23" ht="20.25" customHeight="1">
      <c r="F3787" s="512">
        <v>12</v>
      </c>
      <c r="G3787" s="640" t="s">
        <v>1873</v>
      </c>
      <c r="H3787" s="640" t="s">
        <v>5904</v>
      </c>
      <c r="I3787" s="598">
        <v>1.08</v>
      </c>
      <c r="J3787" s="513" t="s">
        <v>1394</v>
      </c>
      <c r="K3787" s="471">
        <f t="shared" si="369"/>
        <v>12.96</v>
      </c>
      <c r="L3787" s="471"/>
      <c r="W3787" s="253"/>
    </row>
    <row r="3788" spans="6:23" ht="20.25" customHeight="1">
      <c r="F3788" s="474">
        <v>2</v>
      </c>
      <c r="G3788" s="638" t="s">
        <v>222</v>
      </c>
      <c r="H3788" s="639" t="s">
        <v>5905</v>
      </c>
      <c r="I3788" s="608">
        <v>11.9</v>
      </c>
      <c r="J3788" s="471" t="s">
        <v>222</v>
      </c>
      <c r="K3788" s="471">
        <f t="shared" si="369"/>
        <v>23.8</v>
      </c>
      <c r="L3788" s="471"/>
      <c r="W3788" s="253"/>
    </row>
    <row r="3789" spans="6:23" ht="20.25" customHeight="1">
      <c r="F3789" s="474">
        <v>6.6150000000000002</v>
      </c>
      <c r="G3789" s="638" t="s">
        <v>2283</v>
      </c>
      <c r="H3789" s="639" t="s">
        <v>3922</v>
      </c>
      <c r="I3789" s="471">
        <f>K3799</f>
        <v>1998</v>
      </c>
      <c r="J3789" s="471" t="s">
        <v>2283</v>
      </c>
      <c r="K3789" s="471">
        <f>1059.95*6.615</f>
        <v>7011.57</v>
      </c>
      <c r="L3789" s="471"/>
      <c r="W3789" s="253"/>
    </row>
    <row r="3790" spans="6:23" ht="20.25" customHeight="1">
      <c r="F3790" s="474"/>
      <c r="G3790" s="638"/>
      <c r="H3790" s="639"/>
      <c r="I3790" s="471"/>
      <c r="J3790" s="476"/>
      <c r="K3790" s="471"/>
      <c r="L3790" s="471"/>
      <c r="W3790" s="253"/>
    </row>
    <row r="3791" spans="6:23" ht="20.25" customHeight="1">
      <c r="F3791" s="474"/>
      <c r="G3791" s="638"/>
      <c r="H3791" s="401" t="s">
        <v>4042</v>
      </c>
      <c r="J3791" s="471"/>
      <c r="K3791" s="471">
        <f>SUM(K3781:K3790)</f>
        <v>25660.42</v>
      </c>
      <c r="L3791" s="471"/>
      <c r="W3791" s="253"/>
    </row>
    <row r="3792" spans="6:23" ht="20.25" customHeight="1">
      <c r="F3792" s="474"/>
      <c r="G3792" s="638"/>
      <c r="H3792" s="401" t="s">
        <v>552</v>
      </c>
      <c r="J3792" s="472"/>
      <c r="K3792" s="477">
        <f>K3791/6.615</f>
        <v>3879.13</v>
      </c>
      <c r="L3792" s="477" t="s">
        <v>1398</v>
      </c>
      <c r="W3792" s="253"/>
    </row>
    <row r="3793" spans="6:23" ht="20.25" customHeight="1">
      <c r="F3793" s="471"/>
      <c r="G3793" s="638"/>
      <c r="H3793" s="641"/>
      <c r="I3793" s="471"/>
      <c r="J3793" s="471"/>
      <c r="K3793" s="471"/>
      <c r="L3793" s="471"/>
      <c r="W3793" s="253"/>
    </row>
    <row r="3794" spans="6:23" ht="20.25" customHeight="1">
      <c r="F3794" s="471">
        <v>1</v>
      </c>
      <c r="G3794" s="471" t="s">
        <v>868</v>
      </c>
      <c r="H3794" s="475" t="s">
        <v>6116</v>
      </c>
      <c r="I3794" s="471">
        <f>AE17</f>
        <v>881</v>
      </c>
      <c r="J3794" s="475" t="s">
        <v>868</v>
      </c>
      <c r="K3794" s="471">
        <f>I3794*F3794</f>
        <v>881</v>
      </c>
      <c r="L3794" s="471"/>
      <c r="W3794" s="253"/>
    </row>
    <row r="3795" spans="6:23" ht="20.25" customHeight="1">
      <c r="F3795" s="471">
        <v>1</v>
      </c>
      <c r="G3795" s="471" t="s">
        <v>868</v>
      </c>
      <c r="H3795" s="475" t="s">
        <v>6117</v>
      </c>
      <c r="I3795" s="471">
        <f>AE11</f>
        <v>651</v>
      </c>
      <c r="J3795" s="475" t="s">
        <v>868</v>
      </c>
      <c r="K3795" s="471">
        <f>I3795*F3795</f>
        <v>651</v>
      </c>
      <c r="L3795" s="471"/>
      <c r="W3795" s="253"/>
    </row>
    <row r="3796" spans="6:23" ht="20.25" customHeight="1">
      <c r="F3796" s="471">
        <v>0.5</v>
      </c>
      <c r="G3796" s="471" t="s">
        <v>868</v>
      </c>
      <c r="H3796" s="475" t="s">
        <v>6118</v>
      </c>
      <c r="I3796" s="471">
        <f>AE20</f>
        <v>932</v>
      </c>
      <c r="J3796" s="475" t="s">
        <v>868</v>
      </c>
      <c r="K3796" s="471">
        <f>I3796*F3796</f>
        <v>466</v>
      </c>
      <c r="L3796" s="471"/>
      <c r="W3796" s="253"/>
    </row>
    <row r="3797" spans="6:23" ht="20.25" customHeight="1">
      <c r="F3797" s="471"/>
      <c r="G3797" s="471" t="s">
        <v>449</v>
      </c>
      <c r="H3797" s="475"/>
      <c r="I3797" s="471"/>
      <c r="J3797" s="475" t="s">
        <v>449</v>
      </c>
      <c r="K3797" s="471"/>
      <c r="L3797" s="471"/>
      <c r="W3797" s="253"/>
    </row>
    <row r="3798" spans="6:23" ht="20.25" customHeight="1">
      <c r="G3798" s="471"/>
      <c r="H3798" s="471"/>
      <c r="I3798" s="471"/>
      <c r="J3798" s="471"/>
      <c r="K3798" s="480" t="s">
        <v>1586</v>
      </c>
      <c r="L3798" s="614"/>
      <c r="W3798" s="253"/>
    </row>
    <row r="3799" spans="6:23" ht="20.25" customHeight="1">
      <c r="G3799" s="471"/>
      <c r="H3799" s="471"/>
      <c r="I3799" s="475" t="s">
        <v>3931</v>
      </c>
      <c r="J3799" s="471"/>
      <c r="K3799" s="477">
        <f>SUM(K3794:K3798)</f>
        <v>1998</v>
      </c>
      <c r="L3799" s="614"/>
      <c r="W3799" s="253"/>
    </row>
    <row r="3800" spans="6:23" ht="20.25" customHeight="1">
      <c r="G3800" s="471"/>
      <c r="H3800" s="471"/>
      <c r="I3800" s="471"/>
      <c r="J3800" s="471"/>
      <c r="K3800" s="480" t="s">
        <v>1586</v>
      </c>
      <c r="L3800" s="614"/>
      <c r="W3800" s="253"/>
    </row>
    <row r="3801" spans="6:23" ht="20.25" customHeight="1">
      <c r="J3801" s="252"/>
      <c r="K3801" s="356"/>
      <c r="W3801" s="253"/>
    </row>
    <row r="3802" spans="6:23" ht="20.25" customHeight="1">
      <c r="F3802" s="375"/>
      <c r="G3802" s="252" t="s">
        <v>2251</v>
      </c>
      <c r="H3802" s="296" t="s">
        <v>6105</v>
      </c>
      <c r="W3802" s="253"/>
    </row>
    <row r="3803" spans="6:23" ht="20.25" customHeight="1">
      <c r="H3803" s="296"/>
      <c r="W3803" s="253"/>
    </row>
    <row r="3804" spans="6:23" ht="20.25" customHeight="1">
      <c r="H3804" s="358" t="s">
        <v>1586</v>
      </c>
      <c r="W3804" s="253"/>
    </row>
    <row r="3805" spans="6:23" ht="20.25" customHeight="1">
      <c r="F3805" s="252">
        <v>1.86</v>
      </c>
      <c r="G3805" s="252" t="s">
        <v>609</v>
      </c>
      <c r="H3805" s="296" t="s">
        <v>3603</v>
      </c>
      <c r="I3805" s="314">
        <v>699.4</v>
      </c>
      <c r="J3805" s="296" t="s">
        <v>609</v>
      </c>
      <c r="K3805" s="252">
        <f>(F3805*I3805)</f>
        <v>1300.8800000000001</v>
      </c>
      <c r="W3805" s="253"/>
    </row>
    <row r="3806" spans="6:23" ht="20.25" customHeight="1">
      <c r="F3806" s="252">
        <v>0.4</v>
      </c>
      <c r="G3806" s="252" t="s">
        <v>1645</v>
      </c>
      <c r="H3806" s="296" t="s">
        <v>2081</v>
      </c>
      <c r="I3806" s="422">
        <f>I3462</f>
        <v>36.1</v>
      </c>
      <c r="J3806" s="296" t="s">
        <v>1645</v>
      </c>
      <c r="K3806" s="252">
        <f>(F3806*I3806)</f>
        <v>14.44</v>
      </c>
      <c r="W3806" s="253"/>
    </row>
    <row r="3807" spans="6:23" ht="20.25" customHeight="1">
      <c r="F3807" s="252">
        <v>0.02</v>
      </c>
      <c r="G3807" s="252" t="s">
        <v>869</v>
      </c>
      <c r="H3807" s="296" t="s">
        <v>417</v>
      </c>
      <c r="I3807" s="252">
        <f>K23</f>
        <v>6206.38</v>
      </c>
      <c r="J3807" s="296" t="s">
        <v>869</v>
      </c>
      <c r="K3807" s="252">
        <f>(F3807*I3807)</f>
        <v>124.13</v>
      </c>
      <c r="W3807" s="253"/>
    </row>
    <row r="3808" spans="6:23" ht="20.25" customHeight="1">
      <c r="F3808" s="252">
        <v>1</v>
      </c>
      <c r="G3808" s="252" t="s">
        <v>769</v>
      </c>
      <c r="H3808" s="296" t="s">
        <v>2009</v>
      </c>
      <c r="I3808" s="252">
        <f>I3748</f>
        <v>999</v>
      </c>
      <c r="J3808" s="296" t="s">
        <v>769</v>
      </c>
      <c r="K3808" s="252">
        <f>(F3808*I3808)</f>
        <v>999</v>
      </c>
      <c r="W3808" s="253"/>
    </row>
    <row r="3809" spans="6:23" ht="20.25" customHeight="1">
      <c r="F3809" s="252">
        <v>1</v>
      </c>
      <c r="G3809" s="252" t="s">
        <v>769</v>
      </c>
      <c r="H3809" s="296" t="s">
        <v>1688</v>
      </c>
      <c r="I3809" s="252">
        <f>I3795</f>
        <v>651</v>
      </c>
      <c r="J3809" s="296" t="s">
        <v>769</v>
      </c>
      <c r="K3809" s="252">
        <f>(F3809*I3809)</f>
        <v>651</v>
      </c>
      <c r="W3809" s="253"/>
    </row>
    <row r="3810" spans="6:23" ht="20.25" customHeight="1">
      <c r="G3810" s="252" t="s">
        <v>449</v>
      </c>
      <c r="H3810" s="296" t="s">
        <v>450</v>
      </c>
      <c r="J3810" s="296" t="s">
        <v>449</v>
      </c>
      <c r="W3810" s="253"/>
    </row>
    <row r="3811" spans="6:23" ht="20.25" customHeight="1">
      <c r="K3811" s="358" t="s">
        <v>1586</v>
      </c>
      <c r="W3811" s="253"/>
    </row>
    <row r="3812" spans="6:23" ht="20.25" customHeight="1">
      <c r="H3812" s="296" t="s">
        <v>1689</v>
      </c>
      <c r="K3812" s="252">
        <f>SUM(K3805:K3810)</f>
        <v>3089.45</v>
      </c>
      <c r="W3812" s="253"/>
    </row>
    <row r="3813" spans="6:23" ht="20.25" customHeight="1">
      <c r="K3813" s="358" t="s">
        <v>1586</v>
      </c>
      <c r="W3813" s="253"/>
    </row>
    <row r="3814" spans="6:23" ht="20.25" customHeight="1">
      <c r="H3814" s="255" t="s">
        <v>552</v>
      </c>
      <c r="K3814" s="274">
        <f>(K3812/1.86)</f>
        <v>1660.99</v>
      </c>
      <c r="W3814" s="253"/>
    </row>
    <row r="3815" spans="6:23" ht="20.25" customHeight="1">
      <c r="K3815" s="358" t="s">
        <v>2055</v>
      </c>
      <c r="W3815" s="253"/>
    </row>
    <row r="3816" spans="6:23" ht="20.25" customHeight="1">
      <c r="W3816" s="253"/>
    </row>
    <row r="3817" spans="6:23" ht="20.25" customHeight="1">
      <c r="F3817" s="375"/>
      <c r="G3817" s="252" t="s">
        <v>2251</v>
      </c>
      <c r="H3817" s="296" t="s">
        <v>6104</v>
      </c>
      <c r="W3817" s="253"/>
    </row>
    <row r="3818" spans="6:23" ht="20.25" customHeight="1">
      <c r="H3818" s="296"/>
      <c r="W3818" s="253"/>
    </row>
    <row r="3819" spans="6:23" ht="20.25" customHeight="1">
      <c r="H3819" s="296"/>
      <c r="W3819" s="253"/>
    </row>
    <row r="3820" spans="6:23" ht="20.25" customHeight="1">
      <c r="H3820" s="358" t="s">
        <v>1586</v>
      </c>
      <c r="I3820" s="358" t="s">
        <v>1586</v>
      </c>
      <c r="W3820" s="253"/>
    </row>
    <row r="3821" spans="6:23" ht="20.25" customHeight="1">
      <c r="F3821" s="252">
        <v>10</v>
      </c>
      <c r="G3821" s="252" t="s">
        <v>609</v>
      </c>
      <c r="H3821" s="260" t="s">
        <v>3602</v>
      </c>
      <c r="I3821" s="314">
        <v>538.21</v>
      </c>
      <c r="J3821" s="296" t="s">
        <v>609</v>
      </c>
      <c r="K3821" s="252">
        <f>(F3821*I3821)</f>
        <v>5382.1</v>
      </c>
      <c r="W3821" s="253"/>
    </row>
    <row r="3822" spans="6:23" ht="20.25" customHeight="1">
      <c r="F3822" s="252">
        <v>0.21</v>
      </c>
      <c r="G3822" s="252" t="s">
        <v>869</v>
      </c>
      <c r="H3822" s="296" t="s">
        <v>1876</v>
      </c>
      <c r="I3822" s="252">
        <f>I3455</f>
        <v>4756.78</v>
      </c>
      <c r="J3822" s="296" t="s">
        <v>869</v>
      </c>
      <c r="K3822" s="252">
        <f>(F3822*I3822)</f>
        <v>998.92</v>
      </c>
      <c r="W3822" s="253"/>
    </row>
    <row r="3823" spans="6:23" ht="20.25" customHeight="1">
      <c r="H3823" s="296" t="s">
        <v>1877</v>
      </c>
      <c r="K3823" s="296" t="s">
        <v>975</v>
      </c>
      <c r="W3823" s="253"/>
    </row>
    <row r="3824" spans="6:23" ht="20.25" customHeight="1">
      <c r="F3824" s="252">
        <v>1.1000000000000001</v>
      </c>
      <c r="G3824" s="252" t="s">
        <v>769</v>
      </c>
      <c r="H3824" s="296" t="s">
        <v>2009</v>
      </c>
      <c r="I3824" s="252">
        <f>I3457</f>
        <v>999</v>
      </c>
      <c r="J3824" s="296" t="s">
        <v>769</v>
      </c>
      <c r="K3824" s="252">
        <f>(F3824*I3824)</f>
        <v>1098.9000000000001</v>
      </c>
      <c r="W3824" s="253"/>
    </row>
    <row r="3825" spans="6:23" ht="20.25" customHeight="1">
      <c r="F3825" s="252">
        <v>1.1000000000000001</v>
      </c>
      <c r="G3825" s="252" t="s">
        <v>769</v>
      </c>
      <c r="H3825" s="296" t="s">
        <v>1712</v>
      </c>
      <c r="I3825" s="252">
        <f t="shared" ref="I3825:I3832" si="370">I3458</f>
        <v>932</v>
      </c>
      <c r="J3825" s="296" t="s">
        <v>769</v>
      </c>
      <c r="K3825" s="252">
        <f>(F3825*I3825)</f>
        <v>1025.2</v>
      </c>
      <c r="W3825" s="253"/>
    </row>
    <row r="3826" spans="6:23" ht="20.25" customHeight="1">
      <c r="F3826" s="252">
        <v>2.2000000000000002</v>
      </c>
      <c r="G3826" s="252" t="s">
        <v>769</v>
      </c>
      <c r="H3826" s="296" t="s">
        <v>1902</v>
      </c>
      <c r="I3826" s="252">
        <f t="shared" si="370"/>
        <v>651</v>
      </c>
      <c r="J3826" s="296" t="s">
        <v>769</v>
      </c>
      <c r="K3826" s="252">
        <f>(F3826*I3826)</f>
        <v>1432.2</v>
      </c>
      <c r="W3826" s="253"/>
    </row>
    <row r="3827" spans="6:23" ht="20.25" customHeight="1">
      <c r="F3827" s="252">
        <v>2.2000000000000002</v>
      </c>
      <c r="G3827" s="252" t="s">
        <v>769</v>
      </c>
      <c r="H3827" s="296" t="s">
        <v>320</v>
      </c>
      <c r="I3827" s="252">
        <f t="shared" si="370"/>
        <v>534</v>
      </c>
      <c r="J3827" s="296" t="s">
        <v>769</v>
      </c>
      <c r="K3827" s="252">
        <f>(F3827*I3827)</f>
        <v>1174.8</v>
      </c>
      <c r="W3827" s="253"/>
    </row>
    <row r="3828" spans="6:23" ht="20.25" customHeight="1">
      <c r="F3828" s="356">
        <v>20</v>
      </c>
      <c r="G3828" s="252" t="s">
        <v>1645</v>
      </c>
      <c r="H3828" s="296" t="s">
        <v>862</v>
      </c>
      <c r="I3828" s="252">
        <f t="shared" si="370"/>
        <v>6040</v>
      </c>
      <c r="J3828" s="296" t="s">
        <v>861</v>
      </c>
      <c r="K3828" s="252">
        <f>(F3828*I3828)/1000</f>
        <v>120.8</v>
      </c>
      <c r="W3828" s="253"/>
    </row>
    <row r="3829" spans="6:23" ht="20.25" customHeight="1">
      <c r="F3829" s="356">
        <v>2</v>
      </c>
      <c r="G3829" s="252" t="s">
        <v>1645</v>
      </c>
      <c r="H3829" s="296" t="s">
        <v>2081</v>
      </c>
      <c r="I3829" s="252">
        <f t="shared" si="370"/>
        <v>36.1</v>
      </c>
      <c r="J3829" s="296" t="s">
        <v>1645</v>
      </c>
      <c r="K3829" s="252">
        <f>(F3829*I3829)</f>
        <v>72.2</v>
      </c>
      <c r="W3829" s="253"/>
    </row>
    <row r="3830" spans="6:23" ht="20.25" customHeight="1">
      <c r="F3830" s="252">
        <v>1.6</v>
      </c>
      <c r="G3830" s="252" t="s">
        <v>769</v>
      </c>
      <c r="H3830" s="296" t="s">
        <v>1712</v>
      </c>
      <c r="I3830" s="252">
        <f t="shared" si="370"/>
        <v>932</v>
      </c>
      <c r="J3830" s="296" t="s">
        <v>769</v>
      </c>
      <c r="K3830" s="252">
        <f>(F3830*I3830)</f>
        <v>1491.2</v>
      </c>
      <c r="W3830" s="253"/>
    </row>
    <row r="3831" spans="6:23" ht="20.25" customHeight="1">
      <c r="F3831" s="252">
        <v>0.5</v>
      </c>
      <c r="G3831" s="252" t="s">
        <v>769</v>
      </c>
      <c r="H3831" s="296" t="s">
        <v>1902</v>
      </c>
      <c r="I3831" s="252">
        <f t="shared" si="370"/>
        <v>651</v>
      </c>
      <c r="J3831" s="296" t="s">
        <v>769</v>
      </c>
      <c r="K3831" s="252">
        <f>(F3831*I3831)</f>
        <v>325.5</v>
      </c>
      <c r="W3831" s="253"/>
    </row>
    <row r="3832" spans="6:23" ht="20.25" customHeight="1">
      <c r="F3832" s="252">
        <v>1.1000000000000001</v>
      </c>
      <c r="G3832" s="252" t="s">
        <v>769</v>
      </c>
      <c r="H3832" s="296" t="s">
        <v>320</v>
      </c>
      <c r="I3832" s="252">
        <f t="shared" si="370"/>
        <v>534</v>
      </c>
      <c r="J3832" s="296" t="s">
        <v>769</v>
      </c>
      <c r="K3832" s="252">
        <f>(F3832*I3832)</f>
        <v>587.4</v>
      </c>
      <c r="W3832" s="253"/>
    </row>
    <row r="3833" spans="6:23" ht="20.25" customHeight="1">
      <c r="G3833" s="252" t="s">
        <v>449</v>
      </c>
      <c r="H3833" s="296" t="s">
        <v>450</v>
      </c>
      <c r="J3833" s="296" t="s">
        <v>449</v>
      </c>
      <c r="K3833" s="252">
        <v>0</v>
      </c>
      <c r="W3833" s="253"/>
    </row>
    <row r="3834" spans="6:23" ht="20.25" customHeight="1">
      <c r="K3834" s="358" t="s">
        <v>1586</v>
      </c>
      <c r="W3834" s="253"/>
    </row>
    <row r="3835" spans="6:23" ht="20.25" customHeight="1">
      <c r="H3835" s="296" t="s">
        <v>441</v>
      </c>
      <c r="K3835" s="252">
        <f>SUM(K3821:K3833)</f>
        <v>13709.22</v>
      </c>
      <c r="W3835" s="253"/>
    </row>
    <row r="3836" spans="6:23" ht="20.25" customHeight="1">
      <c r="K3836" s="358" t="s">
        <v>1586</v>
      </c>
      <c r="W3836" s="253"/>
    </row>
    <row r="3837" spans="6:23" ht="20.25" customHeight="1">
      <c r="F3837" s="356"/>
      <c r="H3837" s="255" t="s">
        <v>552</v>
      </c>
      <c r="K3837" s="274">
        <f>(K3835/10)</f>
        <v>1370.92</v>
      </c>
      <c r="W3837" s="253"/>
    </row>
    <row r="3838" spans="6:23" ht="20.25" customHeight="1">
      <c r="F3838" s="356"/>
      <c r="K3838" s="358" t="s">
        <v>2055</v>
      </c>
      <c r="W3838" s="253"/>
    </row>
    <row r="3839" spans="6:23" ht="20.25" customHeight="1">
      <c r="W3839" s="253"/>
    </row>
    <row r="3840" spans="6:23" ht="20.25" customHeight="1">
      <c r="G3840" s="274" t="s">
        <v>4094</v>
      </c>
      <c r="I3840" s="296">
        <f>1.2*0.8</f>
        <v>0.96</v>
      </c>
      <c r="J3840" s="252"/>
      <c r="K3840" s="356"/>
      <c r="W3840" s="253"/>
    </row>
    <row r="3841" spans="5:23" ht="20.25" customHeight="1">
      <c r="I3841" s="296"/>
      <c r="J3841" s="252"/>
      <c r="K3841" s="356"/>
      <c r="W3841" s="253"/>
    </row>
    <row r="3842" spans="5:23" ht="20.25" customHeight="1">
      <c r="E3842" s="296" t="s">
        <v>4095</v>
      </c>
      <c r="F3842" s="296"/>
      <c r="G3842" s="296"/>
      <c r="H3842" s="356">
        <f>4*3.9</f>
        <v>15.6</v>
      </c>
      <c r="I3842" s="296" t="s">
        <v>359</v>
      </c>
      <c r="K3842" s="356"/>
      <c r="W3842" s="253"/>
    </row>
    <row r="3843" spans="5:23" ht="20.25" customHeight="1">
      <c r="E3843" s="252" t="s">
        <v>4096</v>
      </c>
      <c r="H3843" s="252">
        <f>11*0.8*3.14</f>
        <v>27.63</v>
      </c>
      <c r="I3843" s="296" t="s">
        <v>359</v>
      </c>
      <c r="K3843" s="356"/>
      <c r="W3843" s="253"/>
    </row>
    <row r="3844" spans="5:23" ht="20.25" customHeight="1">
      <c r="E3844" s="252" t="s">
        <v>4097</v>
      </c>
      <c r="H3844" s="252">
        <f>2*1.2*1.2</f>
        <v>2.88</v>
      </c>
      <c r="I3844" s="296" t="s">
        <v>359</v>
      </c>
      <c r="K3844" s="356"/>
      <c r="W3844" s="253"/>
    </row>
    <row r="3845" spans="5:23" ht="20.25" customHeight="1">
      <c r="E3845" s="252" t="s">
        <v>4098</v>
      </c>
      <c r="H3845" s="252">
        <f>3*0.8*1.2</f>
        <v>2.88</v>
      </c>
      <c r="I3845" s="296" t="s">
        <v>359</v>
      </c>
      <c r="K3845" s="356"/>
      <c r="W3845" s="253"/>
    </row>
    <row r="3846" spans="5:23" ht="20.25" customHeight="1">
      <c r="E3846" s="252" t="s">
        <v>4099</v>
      </c>
      <c r="H3846" s="252">
        <v>5</v>
      </c>
      <c r="I3846" s="296"/>
      <c r="K3846" s="356"/>
      <c r="W3846" s="253"/>
    </row>
    <row r="3847" spans="5:23" ht="20.25" customHeight="1">
      <c r="H3847" s="377" t="s">
        <v>879</v>
      </c>
      <c r="I3847" s="296"/>
      <c r="K3847" s="356"/>
      <c r="W3847" s="253"/>
    </row>
    <row r="3848" spans="5:23" ht="20.25" customHeight="1">
      <c r="H3848" s="316">
        <f>SUM(H3842:H3846)</f>
        <v>53.99</v>
      </c>
      <c r="I3848" s="296" t="s">
        <v>359</v>
      </c>
      <c r="J3848" s="296">
        <f>H3848-51.7</f>
        <v>2.29</v>
      </c>
      <c r="K3848" s="356"/>
      <c r="W3848" s="253"/>
    </row>
    <row r="3849" spans="5:23" ht="20.25" customHeight="1">
      <c r="H3849" s="377" t="s">
        <v>879</v>
      </c>
      <c r="I3849" s="296"/>
      <c r="J3849" s="252"/>
      <c r="K3849" s="356"/>
      <c r="W3849" s="253"/>
    </row>
    <row r="3850" spans="5:23" ht="20.25" customHeight="1">
      <c r="I3850" s="296"/>
      <c r="J3850" s="252"/>
      <c r="K3850" s="356"/>
      <c r="W3850" s="253"/>
    </row>
    <row r="3851" spans="5:23" ht="20.25" customHeight="1">
      <c r="I3851" s="296"/>
      <c r="J3851" s="252"/>
      <c r="K3851" s="356"/>
      <c r="W3851" s="253"/>
    </row>
    <row r="3852" spans="5:23" ht="20.25" customHeight="1">
      <c r="E3852" s="356">
        <f>H3848</f>
        <v>53.99</v>
      </c>
      <c r="F3852" s="252" t="s">
        <v>1645</v>
      </c>
      <c r="G3852" s="252" t="s">
        <v>513</v>
      </c>
      <c r="H3852" s="252">
        <f>I2607</f>
        <v>70.150000000000006</v>
      </c>
      <c r="I3852" s="296" t="s">
        <v>1645</v>
      </c>
      <c r="J3852" s="252">
        <f>H3852*E3852</f>
        <v>3787.4</v>
      </c>
      <c r="K3852" s="356"/>
      <c r="W3852" s="253"/>
    </row>
    <row r="3853" spans="5:23" ht="20.25" customHeight="1">
      <c r="E3853" s="356">
        <v>0.96</v>
      </c>
      <c r="F3853" s="252" t="s">
        <v>2283</v>
      </c>
      <c r="G3853" s="252" t="s">
        <v>2122</v>
      </c>
      <c r="H3853" s="252">
        <f>I2608</f>
        <v>379.9</v>
      </c>
      <c r="I3853" s="296" t="s">
        <v>2283</v>
      </c>
      <c r="J3853" s="252">
        <f>H3853*E3853</f>
        <v>364.7</v>
      </c>
      <c r="K3853" s="356"/>
      <c r="W3853" s="253"/>
    </row>
    <row r="3854" spans="5:23" ht="20.25" customHeight="1">
      <c r="E3854" s="356">
        <v>0.96</v>
      </c>
      <c r="F3854" s="252" t="s">
        <v>2283</v>
      </c>
      <c r="G3854" s="252" t="s">
        <v>514</v>
      </c>
      <c r="H3854" s="252">
        <f>I2609</f>
        <v>40.65</v>
      </c>
      <c r="I3854" s="296" t="s">
        <v>2283</v>
      </c>
      <c r="J3854" s="252">
        <f>H3854*E3854</f>
        <v>39.020000000000003</v>
      </c>
      <c r="K3854" s="356"/>
      <c r="W3854" s="253"/>
    </row>
    <row r="3855" spans="5:23" ht="20.25" customHeight="1">
      <c r="G3855" s="252" t="s">
        <v>571</v>
      </c>
      <c r="H3855" s="252">
        <f>I2610</f>
        <v>266.81</v>
      </c>
      <c r="I3855" s="296" t="s">
        <v>449</v>
      </c>
      <c r="J3855" s="252">
        <f>H3855</f>
        <v>266.81</v>
      </c>
      <c r="K3855" s="356"/>
      <c r="W3855" s="253"/>
    </row>
    <row r="3856" spans="5:23" ht="20.25" customHeight="1">
      <c r="I3856" s="296"/>
      <c r="J3856" s="377" t="s">
        <v>146</v>
      </c>
      <c r="K3856" s="356"/>
      <c r="W3856" s="253"/>
    </row>
    <row r="3857" spans="5:23" ht="20.25" customHeight="1">
      <c r="G3857" s="274" t="s">
        <v>516</v>
      </c>
      <c r="I3857" s="296"/>
      <c r="J3857" s="274">
        <f>SUM(J3852:J3856)</f>
        <v>4457.93</v>
      </c>
      <c r="K3857" s="356"/>
      <c r="W3857" s="253"/>
    </row>
    <row r="3858" spans="5:23" ht="20.25" customHeight="1">
      <c r="I3858" s="296"/>
      <c r="J3858" s="377" t="s">
        <v>146</v>
      </c>
      <c r="K3858" s="356"/>
      <c r="W3858" s="253"/>
    </row>
    <row r="3859" spans="5:23" ht="20.25" customHeight="1">
      <c r="G3859" s="360" t="s">
        <v>2789</v>
      </c>
      <c r="I3859" s="296"/>
      <c r="J3859" s="274">
        <f>J3857/E3853</f>
        <v>4643.68</v>
      </c>
      <c r="K3859" s="356"/>
      <c r="W3859" s="253"/>
    </row>
    <row r="3860" spans="5:23" ht="20.25" customHeight="1">
      <c r="J3860" s="252"/>
      <c r="K3860" s="356"/>
      <c r="W3860" s="253"/>
    </row>
    <row r="3861" spans="5:23" ht="20.25" customHeight="1">
      <c r="G3861" s="274" t="s">
        <v>4100</v>
      </c>
      <c r="I3861" s="296">
        <f>1*0.8</f>
        <v>0.8</v>
      </c>
      <c r="J3861" s="252"/>
      <c r="K3861" s="356"/>
      <c r="W3861" s="253"/>
    </row>
    <row r="3862" spans="5:23" ht="20.25" customHeight="1">
      <c r="I3862" s="296"/>
      <c r="J3862" s="252"/>
      <c r="K3862" s="356"/>
      <c r="W3862" s="253"/>
    </row>
    <row r="3863" spans="5:23" ht="20.25" customHeight="1">
      <c r="E3863" s="296" t="s">
        <v>4101</v>
      </c>
      <c r="F3863" s="296"/>
      <c r="G3863" s="296"/>
      <c r="H3863" s="356">
        <f>3.6*3.9</f>
        <v>14.04</v>
      </c>
      <c r="I3863" s="296" t="s">
        <v>359</v>
      </c>
      <c r="K3863" s="356"/>
      <c r="W3863" s="253"/>
    </row>
    <row r="3864" spans="5:23" ht="20.25" customHeight="1">
      <c r="E3864" s="252" t="s">
        <v>4102</v>
      </c>
      <c r="H3864" s="252">
        <f>9*0.8*3.14</f>
        <v>22.61</v>
      </c>
      <c r="I3864" s="296" t="s">
        <v>359</v>
      </c>
      <c r="K3864" s="356"/>
      <c r="W3864" s="253"/>
    </row>
    <row r="3865" spans="5:23" ht="20.25" customHeight="1">
      <c r="E3865" s="252" t="s">
        <v>4103</v>
      </c>
      <c r="H3865" s="252">
        <f>2*1*1.2</f>
        <v>2.4</v>
      </c>
      <c r="I3865" s="296" t="s">
        <v>359</v>
      </c>
      <c r="K3865" s="356"/>
      <c r="W3865" s="253"/>
    </row>
    <row r="3866" spans="5:23" ht="20.25" customHeight="1">
      <c r="E3866" s="252" t="s">
        <v>4098</v>
      </c>
      <c r="H3866" s="252">
        <f>3*0.8*1.2</f>
        <v>2.88</v>
      </c>
      <c r="I3866" s="296" t="s">
        <v>359</v>
      </c>
      <c r="K3866" s="356"/>
      <c r="W3866" s="253"/>
    </row>
    <row r="3867" spans="5:23" ht="20.25" customHeight="1">
      <c r="E3867" s="252" t="s">
        <v>4099</v>
      </c>
      <c r="H3867" s="252">
        <v>5</v>
      </c>
      <c r="I3867" s="296"/>
      <c r="K3867" s="356"/>
      <c r="W3867" s="253"/>
    </row>
    <row r="3868" spans="5:23" ht="20.25" customHeight="1">
      <c r="H3868" s="377" t="s">
        <v>879</v>
      </c>
      <c r="I3868" s="296"/>
      <c r="K3868" s="356"/>
      <c r="W3868" s="253"/>
    </row>
    <row r="3869" spans="5:23" ht="20.25" customHeight="1">
      <c r="H3869" s="316">
        <f>SUM(H3863:H3867)</f>
        <v>46.93</v>
      </c>
      <c r="I3869" s="296" t="s">
        <v>359</v>
      </c>
      <c r="K3869" s="356"/>
      <c r="W3869" s="253"/>
    </row>
    <row r="3870" spans="5:23" ht="20.25" customHeight="1">
      <c r="H3870" s="377" t="s">
        <v>879</v>
      </c>
      <c r="I3870" s="296"/>
      <c r="J3870" s="252"/>
      <c r="K3870" s="356"/>
      <c r="W3870" s="253"/>
    </row>
    <row r="3871" spans="5:23" ht="20.25" customHeight="1">
      <c r="I3871" s="296"/>
      <c r="J3871" s="252"/>
      <c r="K3871" s="356"/>
      <c r="W3871" s="253"/>
    </row>
    <row r="3872" spans="5:23" ht="20.25" customHeight="1">
      <c r="I3872" s="296"/>
      <c r="J3872" s="252"/>
      <c r="K3872" s="356"/>
      <c r="W3872" s="253"/>
    </row>
    <row r="3873" spans="5:23" ht="20.25" customHeight="1">
      <c r="E3873" s="356">
        <f>H3869</f>
        <v>46.93</v>
      </c>
      <c r="F3873" s="252" t="s">
        <v>1645</v>
      </c>
      <c r="G3873" s="252" t="s">
        <v>513</v>
      </c>
      <c r="H3873" s="252">
        <f>H3852</f>
        <v>70.150000000000006</v>
      </c>
      <c r="I3873" s="296" t="s">
        <v>1645</v>
      </c>
      <c r="J3873" s="252">
        <f>H3873*E3873</f>
        <v>3292.14</v>
      </c>
      <c r="K3873" s="356"/>
      <c r="W3873" s="253"/>
    </row>
    <row r="3874" spans="5:23" ht="20.25" customHeight="1">
      <c r="E3874" s="252">
        <v>0.8</v>
      </c>
      <c r="F3874" s="252" t="s">
        <v>2283</v>
      </c>
      <c r="G3874" s="252" t="s">
        <v>2122</v>
      </c>
      <c r="H3874" s="252">
        <f>H3853</f>
        <v>379.9</v>
      </c>
      <c r="I3874" s="296" t="s">
        <v>2283</v>
      </c>
      <c r="J3874" s="252">
        <f>H3874*E3874</f>
        <v>303.92</v>
      </c>
      <c r="K3874" s="356"/>
      <c r="W3874" s="253"/>
    </row>
    <row r="3875" spans="5:23" ht="20.25" customHeight="1">
      <c r="E3875" s="252">
        <v>0.8</v>
      </c>
      <c r="F3875" s="252" t="s">
        <v>2283</v>
      </c>
      <c r="G3875" s="252" t="s">
        <v>514</v>
      </c>
      <c r="H3875" s="252">
        <f>H3854</f>
        <v>40.65</v>
      </c>
      <c r="I3875" s="296" t="s">
        <v>2283</v>
      </c>
      <c r="J3875" s="252">
        <f>H3875*E3875</f>
        <v>32.520000000000003</v>
      </c>
      <c r="K3875" s="356"/>
      <c r="W3875" s="253"/>
    </row>
    <row r="3876" spans="5:23" ht="20.25" customHeight="1">
      <c r="G3876" s="252" t="s">
        <v>571</v>
      </c>
      <c r="H3876" s="252">
        <f>H3855</f>
        <v>266.81</v>
      </c>
      <c r="I3876" s="296" t="s">
        <v>449</v>
      </c>
      <c r="J3876" s="252">
        <v>47.1</v>
      </c>
      <c r="K3876" s="356"/>
      <c r="W3876" s="253"/>
    </row>
    <row r="3877" spans="5:23" ht="20.25" customHeight="1">
      <c r="I3877" s="296"/>
      <c r="J3877" s="377" t="s">
        <v>146</v>
      </c>
      <c r="K3877" s="356"/>
      <c r="W3877" s="253"/>
    </row>
    <row r="3878" spans="5:23" ht="20.25" customHeight="1">
      <c r="G3878" s="274" t="s">
        <v>516</v>
      </c>
      <c r="I3878" s="296"/>
      <c r="J3878" s="274">
        <f>SUM(J3873:J3877)</f>
        <v>3675.68</v>
      </c>
      <c r="K3878" s="356"/>
      <c r="W3878" s="253"/>
    </row>
    <row r="3879" spans="5:23" ht="20.25" customHeight="1">
      <c r="I3879" s="296"/>
      <c r="J3879" s="377" t="s">
        <v>146</v>
      </c>
      <c r="K3879" s="356"/>
      <c r="W3879" s="253"/>
    </row>
    <row r="3880" spans="5:23" ht="20.25" customHeight="1">
      <c r="G3880" s="360" t="s">
        <v>2789</v>
      </c>
      <c r="I3880" s="296"/>
      <c r="J3880" s="274">
        <f>J3878/E3874</f>
        <v>4594.6000000000004</v>
      </c>
      <c r="K3880" s="356"/>
      <c r="W3880" s="253"/>
    </row>
    <row r="3881" spans="5:23" ht="20.25" customHeight="1">
      <c r="E3881" s="252" t="s">
        <v>511</v>
      </c>
      <c r="H3881" s="252">
        <v>3.24</v>
      </c>
      <c r="I3881" s="296" t="s">
        <v>359</v>
      </c>
      <c r="J3881" s="252"/>
      <c r="K3881" s="356"/>
      <c r="W3881" s="253"/>
    </row>
    <row r="3882" spans="5:23" ht="20.25" customHeight="1">
      <c r="E3882" s="252" t="s">
        <v>512</v>
      </c>
      <c r="H3882" s="252">
        <v>2.16</v>
      </c>
      <c r="I3882" s="296" t="s">
        <v>359</v>
      </c>
      <c r="J3882" s="252"/>
      <c r="K3882" s="356"/>
      <c r="W3882" s="253"/>
    </row>
    <row r="3883" spans="5:23" ht="20.25" customHeight="1">
      <c r="I3883" s="296"/>
      <c r="J3883" s="252"/>
      <c r="K3883" s="356"/>
      <c r="W3883" s="253"/>
    </row>
    <row r="3884" spans="5:23" ht="20.25" customHeight="1">
      <c r="H3884" s="377" t="s">
        <v>146</v>
      </c>
      <c r="I3884" s="296"/>
      <c r="J3884" s="252"/>
      <c r="K3884" s="356"/>
      <c r="W3884" s="253"/>
    </row>
    <row r="3885" spans="5:23" ht="20.25" customHeight="1">
      <c r="H3885" s="252">
        <f>SUM(H3879:H3883)</f>
        <v>5.4</v>
      </c>
      <c r="I3885" s="296"/>
      <c r="J3885" s="252"/>
      <c r="K3885" s="356"/>
      <c r="W3885" s="253"/>
    </row>
    <row r="3886" spans="5:23" ht="20.25" customHeight="1">
      <c r="H3886" s="252" t="s">
        <v>1685</v>
      </c>
      <c r="I3886" s="296"/>
      <c r="J3886" s="252"/>
      <c r="K3886" s="356"/>
      <c r="W3886" s="253"/>
    </row>
    <row r="3887" spans="5:23" ht="20.25" customHeight="1">
      <c r="I3887" s="296"/>
      <c r="J3887" s="252"/>
      <c r="K3887" s="356"/>
      <c r="W3887" s="253"/>
    </row>
    <row r="3888" spans="5:23" ht="20.25" customHeight="1">
      <c r="I3888" s="296"/>
      <c r="J3888" s="252"/>
      <c r="K3888" s="356"/>
      <c r="W3888" s="253"/>
    </row>
    <row r="3889" spans="5:23" ht="20.25" customHeight="1">
      <c r="E3889" s="252">
        <v>42.81</v>
      </c>
      <c r="F3889" s="252" t="s">
        <v>1645</v>
      </c>
      <c r="G3889" s="252" t="s">
        <v>513</v>
      </c>
      <c r="H3889" s="252">
        <f>H3873</f>
        <v>70.150000000000006</v>
      </c>
      <c r="I3889" s="296" t="s">
        <v>1645</v>
      </c>
      <c r="J3889" s="252">
        <f>H3889*E3889</f>
        <v>3003.12</v>
      </c>
      <c r="K3889" s="356"/>
      <c r="W3889" s="253"/>
    </row>
    <row r="3890" spans="5:23" ht="20.25" customHeight="1">
      <c r="E3890" s="252">
        <v>0.77</v>
      </c>
      <c r="F3890" s="252" t="s">
        <v>2283</v>
      </c>
      <c r="G3890" s="252" t="s">
        <v>2450</v>
      </c>
      <c r="H3890" s="252">
        <f>H3874</f>
        <v>379.9</v>
      </c>
      <c r="I3890" s="296" t="s">
        <v>2283</v>
      </c>
      <c r="J3890" s="252">
        <f>H3890*E3890</f>
        <v>292.52</v>
      </c>
      <c r="K3890" s="356"/>
      <c r="W3890" s="253"/>
    </row>
    <row r="3891" spans="5:23" ht="20.25" customHeight="1">
      <c r="E3891" s="252">
        <v>0.77</v>
      </c>
      <c r="F3891" s="252" t="s">
        <v>2283</v>
      </c>
      <c r="G3891" s="468" t="s">
        <v>1951</v>
      </c>
      <c r="H3891" s="252">
        <f>H3875</f>
        <v>40.65</v>
      </c>
      <c r="I3891" s="296" t="s">
        <v>2283</v>
      </c>
      <c r="J3891" s="252">
        <f>H3891*E3891</f>
        <v>31.3</v>
      </c>
      <c r="K3891" s="356"/>
      <c r="W3891" s="253"/>
    </row>
    <row r="3892" spans="5:23" ht="20.25" customHeight="1">
      <c r="G3892" s="252" t="s">
        <v>515</v>
      </c>
      <c r="H3892" s="252">
        <f>H3876</f>
        <v>266.81</v>
      </c>
      <c r="I3892" s="296" t="s">
        <v>449</v>
      </c>
      <c r="J3892" s="252">
        <f>H3892</f>
        <v>266.81</v>
      </c>
      <c r="K3892" s="356"/>
      <c r="W3892" s="253"/>
    </row>
    <row r="3893" spans="5:23" ht="20.25" customHeight="1">
      <c r="I3893" s="296"/>
      <c r="J3893" s="377" t="s">
        <v>146</v>
      </c>
      <c r="K3893" s="356"/>
      <c r="W3893" s="253"/>
    </row>
    <row r="3894" spans="5:23" ht="20.25" customHeight="1">
      <c r="G3894" s="274" t="s">
        <v>516</v>
      </c>
      <c r="I3894" s="296"/>
      <c r="J3894" s="274">
        <f>SUM(J3889:J3892)</f>
        <v>3593.75</v>
      </c>
      <c r="K3894" s="356"/>
      <c r="W3894" s="253"/>
    </row>
    <row r="3895" spans="5:23" ht="20.25" customHeight="1">
      <c r="I3895" s="296"/>
      <c r="J3895" s="377" t="s">
        <v>146</v>
      </c>
      <c r="K3895" s="356"/>
      <c r="W3895" s="253"/>
    </row>
    <row r="3896" spans="5:23" ht="20.25" customHeight="1">
      <c r="G3896" s="642">
        <f>1.285*0.6</f>
        <v>0.77</v>
      </c>
      <c r="I3896" s="296"/>
      <c r="J3896" s="252">
        <f>J3894/G3896</f>
        <v>4667.21</v>
      </c>
      <c r="K3896" s="356"/>
      <c r="W3896" s="253"/>
    </row>
    <row r="3897" spans="5:23" ht="20.25" customHeight="1">
      <c r="E3897" s="252">
        <f>C3890</f>
        <v>0</v>
      </c>
      <c r="G3897" s="296">
        <f>E3897*D3856</f>
        <v>0</v>
      </c>
      <c r="J3897" s="252"/>
      <c r="K3897" s="356"/>
      <c r="W3897" s="253"/>
    </row>
    <row r="3898" spans="5:23" ht="20.25" customHeight="1">
      <c r="G3898" s="296">
        <v>0.8</v>
      </c>
      <c r="J3898" s="252"/>
      <c r="K3898" s="356"/>
      <c r="W3898" s="253"/>
    </row>
    <row r="3899" spans="5:23" ht="20.25" customHeight="1">
      <c r="G3899" s="296">
        <f>SUM(G3895:G3898)</f>
        <v>1.57</v>
      </c>
      <c r="J3899" s="252"/>
      <c r="K3899" s="356"/>
      <c r="W3899" s="253"/>
    </row>
    <row r="3900" spans="5:23" ht="20.25" customHeight="1">
      <c r="G3900" s="296">
        <f>G3899/0.77</f>
        <v>2.04</v>
      </c>
      <c r="J3900" s="252"/>
      <c r="K3900" s="356"/>
      <c r="W3900" s="253"/>
    </row>
    <row r="3901" spans="5:23" ht="20.25" customHeight="1">
      <c r="H3901" s="274" t="s">
        <v>4309</v>
      </c>
      <c r="J3901" s="252"/>
      <c r="K3901" s="356"/>
      <c r="W3901" s="253"/>
    </row>
    <row r="3902" spans="5:23" ht="20.25" customHeight="1">
      <c r="F3902" s="253" t="s">
        <v>1323</v>
      </c>
      <c r="G3902" s="252" t="s">
        <v>2251</v>
      </c>
      <c r="H3902" s="296" t="s">
        <v>2031</v>
      </c>
      <c r="W3902" s="253"/>
    </row>
    <row r="3903" spans="5:23" ht="20.25" customHeight="1">
      <c r="H3903" s="296" t="s">
        <v>2032</v>
      </c>
      <c r="W3903" s="253"/>
    </row>
    <row r="3904" spans="5:23" ht="20.25" customHeight="1">
      <c r="H3904" s="296" t="s">
        <v>2033</v>
      </c>
      <c r="W3904" s="253"/>
    </row>
    <row r="3905" spans="6:23" ht="20.25" customHeight="1">
      <c r="H3905" s="296" t="s">
        <v>891</v>
      </c>
      <c r="W3905" s="253"/>
    </row>
    <row r="3906" spans="6:23" ht="20.25" customHeight="1">
      <c r="H3906" s="296" t="s">
        <v>892</v>
      </c>
      <c r="W3906" s="253"/>
    </row>
    <row r="3907" spans="6:23" ht="20.25" customHeight="1">
      <c r="H3907" s="296" t="s">
        <v>1721</v>
      </c>
      <c r="W3907" s="253"/>
    </row>
    <row r="3908" spans="6:23" ht="20.25" customHeight="1">
      <c r="H3908" s="296" t="s">
        <v>93</v>
      </c>
      <c r="W3908" s="253"/>
    </row>
    <row r="3909" spans="6:23" ht="20.25" customHeight="1">
      <c r="H3909" s="296" t="s">
        <v>94</v>
      </c>
      <c r="W3909" s="253"/>
    </row>
    <row r="3910" spans="6:23" ht="20.25" customHeight="1">
      <c r="H3910" s="296" t="s">
        <v>95</v>
      </c>
      <c r="W3910" s="253"/>
    </row>
    <row r="3911" spans="6:23" ht="20.25" customHeight="1">
      <c r="H3911" s="296" t="s">
        <v>96</v>
      </c>
      <c r="W3911" s="253"/>
    </row>
    <row r="3912" spans="6:23" ht="20.25" customHeight="1">
      <c r="H3912" s="296" t="s">
        <v>2053</v>
      </c>
      <c r="W3912" s="253"/>
    </row>
    <row r="3913" spans="6:23" ht="20.25" customHeight="1">
      <c r="H3913" s="296" t="s">
        <v>1028</v>
      </c>
      <c r="W3913" s="253"/>
    </row>
    <row r="3914" spans="6:23" ht="20.25" customHeight="1">
      <c r="H3914" s="296" t="s">
        <v>1778</v>
      </c>
      <c r="W3914" s="253"/>
    </row>
    <row r="3915" spans="6:23" ht="20.25" customHeight="1">
      <c r="H3915" s="296" t="s">
        <v>1779</v>
      </c>
      <c r="W3915" s="253"/>
    </row>
    <row r="3916" spans="6:23" ht="20.25" customHeight="1">
      <c r="W3916" s="253"/>
    </row>
    <row r="3917" spans="6:23" ht="20.25" customHeight="1">
      <c r="W3917" s="253"/>
    </row>
    <row r="3918" spans="6:23" ht="20.25" customHeight="1">
      <c r="G3918" s="252" t="s">
        <v>316</v>
      </c>
      <c r="H3918" s="253" t="s">
        <v>1776</v>
      </c>
      <c r="W3918" s="253"/>
    </row>
    <row r="3919" spans="6:23" ht="20.25" customHeight="1">
      <c r="H3919" s="253" t="s">
        <v>1781</v>
      </c>
      <c r="W3919" s="253"/>
    </row>
    <row r="3920" spans="6:23" ht="20.25" customHeight="1">
      <c r="F3920" s="400">
        <v>3.8100000000000002E-2</v>
      </c>
      <c r="G3920" s="252" t="s">
        <v>869</v>
      </c>
      <c r="H3920" s="296" t="s">
        <v>2073</v>
      </c>
      <c r="I3920" s="252">
        <f>K821</f>
        <v>8698.43</v>
      </c>
      <c r="J3920" s="296" t="s">
        <v>869</v>
      </c>
      <c r="K3920" s="252">
        <f>F3920*I3920</f>
        <v>331.41</v>
      </c>
      <c r="W3920" s="253"/>
    </row>
    <row r="3921" spans="6:23" ht="20.25" customHeight="1">
      <c r="F3921" s="377">
        <v>5.01</v>
      </c>
      <c r="G3921" s="252" t="s">
        <v>1645</v>
      </c>
      <c r="H3921" s="296" t="s">
        <v>2074</v>
      </c>
      <c r="I3921" s="252">
        <f>K1608</f>
        <v>88873.5</v>
      </c>
      <c r="J3921" s="296" t="s">
        <v>861</v>
      </c>
      <c r="K3921" s="252">
        <f>F3921*I3921/1000</f>
        <v>445.26</v>
      </c>
      <c r="W3921" s="253"/>
    </row>
    <row r="3922" spans="6:23" ht="20.25" customHeight="1">
      <c r="F3922" s="252">
        <v>3</v>
      </c>
      <c r="G3922" s="252" t="s">
        <v>868</v>
      </c>
      <c r="H3922" s="296" t="s">
        <v>1186</v>
      </c>
      <c r="I3922" s="399">
        <v>14.8</v>
      </c>
      <c r="J3922" s="296" t="s">
        <v>868</v>
      </c>
      <c r="K3922" s="252">
        <f t="shared" ref="K3922:K3929" si="371">F3922*I3922</f>
        <v>44.4</v>
      </c>
      <c r="W3922" s="253"/>
    </row>
    <row r="3923" spans="6:23" ht="20.25" customHeight="1">
      <c r="F3923" s="252">
        <v>12</v>
      </c>
      <c r="G3923" s="252" t="s">
        <v>868</v>
      </c>
      <c r="H3923" s="296" t="s">
        <v>1187</v>
      </c>
      <c r="I3923" s="399">
        <v>2</v>
      </c>
      <c r="J3923" s="296" t="s">
        <v>868</v>
      </c>
      <c r="K3923" s="252">
        <f t="shared" si="371"/>
        <v>24</v>
      </c>
      <c r="W3923" s="253"/>
    </row>
    <row r="3924" spans="6:23" ht="20.25" customHeight="1">
      <c r="F3924" s="252">
        <v>2</v>
      </c>
      <c r="G3924" s="252" t="s">
        <v>868</v>
      </c>
      <c r="H3924" s="296" t="s">
        <v>1188</v>
      </c>
      <c r="I3924" s="399">
        <v>4.9000000000000004</v>
      </c>
      <c r="J3924" s="296" t="s">
        <v>868</v>
      </c>
      <c r="K3924" s="252">
        <f t="shared" si="371"/>
        <v>9.8000000000000007</v>
      </c>
      <c r="W3924" s="253"/>
    </row>
    <row r="3925" spans="6:23" ht="20.25" customHeight="1">
      <c r="F3925" s="252">
        <v>6</v>
      </c>
      <c r="G3925" s="252" t="s">
        <v>868</v>
      </c>
      <c r="H3925" s="296" t="s">
        <v>2220</v>
      </c>
      <c r="I3925" s="399">
        <v>4.45</v>
      </c>
      <c r="J3925" s="296" t="s">
        <v>868</v>
      </c>
      <c r="K3925" s="252">
        <f t="shared" si="371"/>
        <v>26.7</v>
      </c>
      <c r="W3925" s="253"/>
    </row>
    <row r="3926" spans="6:23" ht="20.25" customHeight="1">
      <c r="F3926" s="252">
        <v>1</v>
      </c>
      <c r="G3926" s="252" t="s">
        <v>868</v>
      </c>
      <c r="H3926" s="296" t="s">
        <v>1193</v>
      </c>
      <c r="I3926" s="252">
        <f>I865</f>
        <v>999</v>
      </c>
      <c r="J3926" s="296" t="s">
        <v>868</v>
      </c>
      <c r="K3926" s="252">
        <f t="shared" si="371"/>
        <v>999</v>
      </c>
      <c r="W3926" s="253"/>
    </row>
    <row r="3927" spans="6:23" ht="20.25" customHeight="1">
      <c r="F3927" s="252">
        <v>1</v>
      </c>
      <c r="G3927" s="252" t="s">
        <v>868</v>
      </c>
      <c r="H3927" s="296" t="s">
        <v>1194</v>
      </c>
      <c r="I3927" s="252">
        <f>I866</f>
        <v>651</v>
      </c>
      <c r="J3927" s="296" t="s">
        <v>868</v>
      </c>
      <c r="K3927" s="252">
        <f t="shared" si="371"/>
        <v>651</v>
      </c>
      <c r="W3927" s="253"/>
    </row>
    <row r="3928" spans="6:23" ht="20.25" customHeight="1">
      <c r="F3928" s="252">
        <v>1</v>
      </c>
      <c r="G3928" s="252" t="s">
        <v>868</v>
      </c>
      <c r="H3928" s="296" t="s">
        <v>1195</v>
      </c>
      <c r="I3928" s="399">
        <v>25</v>
      </c>
      <c r="J3928" s="296" t="s">
        <v>868</v>
      </c>
      <c r="K3928" s="252">
        <f t="shared" si="371"/>
        <v>25</v>
      </c>
      <c r="W3928" s="253"/>
    </row>
    <row r="3929" spans="6:23" ht="20.25" customHeight="1">
      <c r="F3929" s="252">
        <v>0.5</v>
      </c>
      <c r="G3929" s="252" t="s">
        <v>868</v>
      </c>
      <c r="H3929" s="296" t="s">
        <v>1196</v>
      </c>
      <c r="I3929" s="252">
        <f>I868</f>
        <v>534</v>
      </c>
      <c r="J3929" s="296" t="s">
        <v>868</v>
      </c>
      <c r="K3929" s="252">
        <f t="shared" si="371"/>
        <v>267</v>
      </c>
      <c r="W3929" s="253"/>
    </row>
    <row r="3930" spans="6:23" ht="20.25" customHeight="1">
      <c r="G3930" s="252" t="s">
        <v>449</v>
      </c>
      <c r="H3930" s="296" t="s">
        <v>2139</v>
      </c>
      <c r="J3930" s="296" t="s">
        <v>449</v>
      </c>
      <c r="K3930" s="252">
        <v>1.1299999999999999</v>
      </c>
      <c r="W3930" s="253"/>
    </row>
    <row r="3931" spans="6:23" ht="20.25" customHeight="1">
      <c r="K3931" s="358" t="s">
        <v>1586</v>
      </c>
      <c r="W3931" s="253"/>
    </row>
    <row r="3932" spans="6:23" ht="20.25" customHeight="1">
      <c r="H3932" s="255" t="s">
        <v>283</v>
      </c>
      <c r="K3932" s="274">
        <f>SUM(K3920:K3930)</f>
        <v>2824.7</v>
      </c>
      <c r="W3932" s="253"/>
    </row>
    <row r="3933" spans="6:23" ht="20.25" customHeight="1">
      <c r="K3933" s="358" t="s">
        <v>1586</v>
      </c>
      <c r="W3933" s="253"/>
    </row>
    <row r="3934" spans="6:23" ht="20.25" customHeight="1">
      <c r="W3934" s="253"/>
    </row>
    <row r="3935" spans="6:23" ht="20.25" customHeight="1">
      <c r="W3935" s="253"/>
    </row>
    <row r="3936" spans="6:23" ht="20.25" customHeight="1">
      <c r="G3936" s="252" t="s">
        <v>1907</v>
      </c>
      <c r="H3936" s="253" t="s">
        <v>1780</v>
      </c>
      <c r="W3936" s="253"/>
    </row>
    <row r="3937" spans="6:23" ht="20.25" customHeight="1">
      <c r="H3937" s="253" t="s">
        <v>1781</v>
      </c>
      <c r="W3937" s="253"/>
    </row>
    <row r="3938" spans="6:23" ht="20.25" customHeight="1">
      <c r="F3938" s="400">
        <v>3.6799999999999999E-2</v>
      </c>
      <c r="G3938" s="252" t="s">
        <v>869</v>
      </c>
      <c r="H3938" s="389" t="s">
        <v>6151</v>
      </c>
      <c r="I3938" s="252">
        <f t="shared" ref="I3938:I3945" si="372">I3920</f>
        <v>8698.43</v>
      </c>
      <c r="J3938" s="296" t="s">
        <v>869</v>
      </c>
      <c r="K3938" s="252">
        <f>F3938*I3938</f>
        <v>320.10000000000002</v>
      </c>
      <c r="W3938" s="253"/>
    </row>
    <row r="3939" spans="6:23" ht="20.25" customHeight="1">
      <c r="F3939" s="252">
        <v>4.87</v>
      </c>
      <c r="G3939" s="252" t="s">
        <v>1645</v>
      </c>
      <c r="H3939" s="296" t="s">
        <v>2074</v>
      </c>
      <c r="I3939" s="252">
        <f t="shared" si="372"/>
        <v>88873.5</v>
      </c>
      <c r="J3939" s="296" t="s">
        <v>861</v>
      </c>
      <c r="K3939" s="252">
        <f>F3939*I3939/1000</f>
        <v>432.81</v>
      </c>
      <c r="W3939" s="253"/>
    </row>
    <row r="3940" spans="6:23" ht="20.25" customHeight="1">
      <c r="F3940" s="252">
        <v>3</v>
      </c>
      <c r="G3940" s="252" t="s">
        <v>868</v>
      </c>
      <c r="H3940" s="296" t="s">
        <v>1186</v>
      </c>
      <c r="I3940" s="434">
        <f t="shared" si="372"/>
        <v>14.8</v>
      </c>
      <c r="J3940" s="296" t="s">
        <v>868</v>
      </c>
      <c r="K3940" s="252">
        <f t="shared" ref="K3940:K3947" si="373">F3940*I3940</f>
        <v>44.4</v>
      </c>
      <c r="W3940" s="253"/>
    </row>
    <row r="3941" spans="6:23" ht="20.25" customHeight="1">
      <c r="F3941" s="252">
        <v>12</v>
      </c>
      <c r="G3941" s="252" t="s">
        <v>868</v>
      </c>
      <c r="H3941" s="296" t="s">
        <v>1187</v>
      </c>
      <c r="I3941" s="434">
        <f t="shared" si="372"/>
        <v>2</v>
      </c>
      <c r="J3941" s="296" t="s">
        <v>868</v>
      </c>
      <c r="K3941" s="252">
        <f t="shared" si="373"/>
        <v>24</v>
      </c>
      <c r="W3941" s="253"/>
    </row>
    <row r="3942" spans="6:23" ht="20.25" customHeight="1">
      <c r="F3942" s="252">
        <v>2</v>
      </c>
      <c r="G3942" s="252" t="s">
        <v>868</v>
      </c>
      <c r="H3942" s="296" t="s">
        <v>1188</v>
      </c>
      <c r="I3942" s="434">
        <f t="shared" si="372"/>
        <v>4.9000000000000004</v>
      </c>
      <c r="J3942" s="296" t="s">
        <v>868</v>
      </c>
      <c r="K3942" s="252">
        <f t="shared" si="373"/>
        <v>9.8000000000000007</v>
      </c>
      <c r="W3942" s="253"/>
    </row>
    <row r="3943" spans="6:23" ht="20.25" customHeight="1">
      <c r="F3943" s="252">
        <v>6</v>
      </c>
      <c r="G3943" s="252" t="s">
        <v>868</v>
      </c>
      <c r="H3943" s="296" t="s">
        <v>2220</v>
      </c>
      <c r="I3943" s="434">
        <f t="shared" si="372"/>
        <v>4.45</v>
      </c>
      <c r="J3943" s="296" t="s">
        <v>868</v>
      </c>
      <c r="K3943" s="252">
        <f t="shared" si="373"/>
        <v>26.7</v>
      </c>
      <c r="W3943" s="253"/>
    </row>
    <row r="3944" spans="6:23" ht="20.25" customHeight="1">
      <c r="F3944" s="252">
        <v>1</v>
      </c>
      <c r="G3944" s="252" t="s">
        <v>868</v>
      </c>
      <c r="H3944" s="296" t="s">
        <v>1193</v>
      </c>
      <c r="I3944" s="252">
        <f t="shared" si="372"/>
        <v>999</v>
      </c>
      <c r="J3944" s="296" t="s">
        <v>868</v>
      </c>
      <c r="K3944" s="252">
        <f t="shared" si="373"/>
        <v>999</v>
      </c>
      <c r="W3944" s="253"/>
    </row>
    <row r="3945" spans="6:23" ht="20.25" customHeight="1">
      <c r="F3945" s="252">
        <v>1</v>
      </c>
      <c r="G3945" s="252" t="s">
        <v>868</v>
      </c>
      <c r="H3945" s="296" t="s">
        <v>1194</v>
      </c>
      <c r="I3945" s="252">
        <f t="shared" si="372"/>
        <v>651</v>
      </c>
      <c r="J3945" s="296" t="s">
        <v>868</v>
      </c>
      <c r="K3945" s="252">
        <f t="shared" si="373"/>
        <v>651</v>
      </c>
      <c r="W3945" s="253"/>
    </row>
    <row r="3946" spans="6:23" ht="20.25" customHeight="1">
      <c r="F3946" s="252">
        <v>1</v>
      </c>
      <c r="G3946" s="252" t="s">
        <v>868</v>
      </c>
      <c r="H3946" s="296" t="s">
        <v>1195</v>
      </c>
      <c r="I3946" s="420">
        <v>25</v>
      </c>
      <c r="J3946" s="296" t="s">
        <v>868</v>
      </c>
      <c r="K3946" s="252">
        <f t="shared" si="373"/>
        <v>25</v>
      </c>
      <c r="W3946" s="253"/>
    </row>
    <row r="3947" spans="6:23" ht="20.25" customHeight="1">
      <c r="F3947" s="252">
        <v>0.5</v>
      </c>
      <c r="G3947" s="252" t="s">
        <v>868</v>
      </c>
      <c r="H3947" s="296" t="s">
        <v>1196</v>
      </c>
      <c r="I3947" s="252">
        <f>I3929</f>
        <v>534</v>
      </c>
      <c r="J3947" s="296" t="s">
        <v>868</v>
      </c>
      <c r="K3947" s="252">
        <f t="shared" si="373"/>
        <v>267</v>
      </c>
      <c r="W3947" s="253"/>
    </row>
    <row r="3948" spans="6:23" ht="20.25" customHeight="1">
      <c r="G3948" s="252" t="s">
        <v>449</v>
      </c>
      <c r="H3948" s="296" t="s">
        <v>2139</v>
      </c>
      <c r="J3948" s="296" t="s">
        <v>449</v>
      </c>
      <c r="K3948" s="252">
        <f>1.9+0.08</f>
        <v>1.98</v>
      </c>
      <c r="W3948" s="253"/>
    </row>
    <row r="3949" spans="6:23" ht="20.25" customHeight="1">
      <c r="K3949" s="358" t="s">
        <v>1586</v>
      </c>
      <c r="W3949" s="253"/>
    </row>
    <row r="3950" spans="6:23" ht="20.25" customHeight="1">
      <c r="H3950" s="255" t="s">
        <v>283</v>
      </c>
      <c r="K3950" s="274">
        <f>SUM(K3938:K3948)</f>
        <v>2801.79</v>
      </c>
      <c r="L3950" s="252">
        <f>K3950-1729</f>
        <v>1072.79</v>
      </c>
      <c r="W3950" s="253"/>
    </row>
    <row r="3951" spans="6:23" ht="20.25" customHeight="1">
      <c r="K3951" s="358" t="s">
        <v>1586</v>
      </c>
      <c r="W3951" s="253"/>
    </row>
    <row r="3952" spans="6:23" ht="20.25" customHeight="1">
      <c r="F3952" s="253"/>
      <c r="G3952" s="252" t="s">
        <v>520</v>
      </c>
      <c r="H3952" s="253" t="s">
        <v>563</v>
      </c>
      <c r="W3952" s="253"/>
    </row>
    <row r="3953" spans="6:23" ht="20.25" customHeight="1">
      <c r="H3953" s="253" t="s">
        <v>1781</v>
      </c>
      <c r="W3953" s="253"/>
    </row>
    <row r="3954" spans="6:23" ht="20.25" customHeight="1">
      <c r="F3954" s="400">
        <v>3.5299999999999998E-2</v>
      </c>
      <c r="G3954" s="252" t="s">
        <v>869</v>
      </c>
      <c r="H3954" s="296" t="s">
        <v>2073</v>
      </c>
      <c r="I3954" s="252">
        <f t="shared" ref="I3954:I3959" si="374">I3938</f>
        <v>8698.43</v>
      </c>
      <c r="J3954" s="296" t="s">
        <v>869</v>
      </c>
      <c r="K3954" s="252">
        <f>F3954*I3954</f>
        <v>307.05</v>
      </c>
      <c r="W3954" s="253"/>
    </row>
    <row r="3955" spans="6:23" ht="20.25" customHeight="1">
      <c r="F3955" s="252">
        <v>4.59</v>
      </c>
      <c r="G3955" s="252" t="s">
        <v>1645</v>
      </c>
      <c r="H3955" s="296" t="s">
        <v>2074</v>
      </c>
      <c r="I3955" s="252">
        <f t="shared" si="374"/>
        <v>88873.5</v>
      </c>
      <c r="J3955" s="296" t="s">
        <v>861</v>
      </c>
      <c r="K3955" s="252">
        <f>F3955*I3955/1000</f>
        <v>407.93</v>
      </c>
      <c r="W3955" s="253"/>
    </row>
    <row r="3956" spans="6:23" ht="20.25" customHeight="1">
      <c r="F3956" s="252">
        <v>3</v>
      </c>
      <c r="G3956" s="252" t="s">
        <v>868</v>
      </c>
      <c r="H3956" s="296" t="s">
        <v>1186</v>
      </c>
      <c r="I3956" s="434">
        <f t="shared" si="374"/>
        <v>14.8</v>
      </c>
      <c r="J3956" s="296" t="s">
        <v>868</v>
      </c>
      <c r="K3956" s="252">
        <f t="shared" ref="K3956:K3963" si="375">F3956*I3956</f>
        <v>44.4</v>
      </c>
      <c r="W3956" s="253"/>
    </row>
    <row r="3957" spans="6:23" ht="20.25" customHeight="1">
      <c r="F3957" s="252">
        <v>12</v>
      </c>
      <c r="G3957" s="252" t="s">
        <v>868</v>
      </c>
      <c r="H3957" s="296" t="s">
        <v>1187</v>
      </c>
      <c r="I3957" s="434">
        <f t="shared" si="374"/>
        <v>2</v>
      </c>
      <c r="J3957" s="296" t="s">
        <v>868</v>
      </c>
      <c r="K3957" s="252">
        <f t="shared" si="375"/>
        <v>24</v>
      </c>
      <c r="W3957" s="253"/>
    </row>
    <row r="3958" spans="6:23" ht="20.25"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0.25" customHeight="1">
      <c r="F3959" s="252">
        <v>6</v>
      </c>
      <c r="G3959" s="252" t="s">
        <v>868</v>
      </c>
      <c r="H3959" s="296" t="s">
        <v>2220</v>
      </c>
      <c r="I3959" s="434">
        <f t="shared" si="374"/>
        <v>4.45</v>
      </c>
      <c r="J3959" s="296" t="s">
        <v>868</v>
      </c>
      <c r="K3959" s="252">
        <f t="shared" si="375"/>
        <v>26.7</v>
      </c>
      <c r="W3959" s="253"/>
    </row>
    <row r="3960" spans="6:23" ht="20.25" customHeight="1">
      <c r="F3960" s="252">
        <v>1</v>
      </c>
      <c r="G3960" s="252" t="s">
        <v>868</v>
      </c>
      <c r="H3960" s="296" t="s">
        <v>1193</v>
      </c>
      <c r="I3960" s="252">
        <f>I3944</f>
        <v>999</v>
      </c>
      <c r="J3960" s="296" t="s">
        <v>868</v>
      </c>
      <c r="K3960" s="252">
        <f t="shared" si="375"/>
        <v>999</v>
      </c>
      <c r="W3960" s="253"/>
    </row>
    <row r="3961" spans="6:23" ht="20.25" customHeight="1">
      <c r="F3961" s="252">
        <v>1</v>
      </c>
      <c r="G3961" s="252" t="s">
        <v>868</v>
      </c>
      <c r="H3961" s="296" t="s">
        <v>1194</v>
      </c>
      <c r="I3961" s="252">
        <f>I3945</f>
        <v>651</v>
      </c>
      <c r="J3961" s="296" t="s">
        <v>868</v>
      </c>
      <c r="K3961" s="252">
        <f t="shared" si="375"/>
        <v>651</v>
      </c>
      <c r="W3961" s="253"/>
    </row>
    <row r="3962" spans="6:23" ht="20.25" customHeight="1">
      <c r="F3962" s="252">
        <v>1</v>
      </c>
      <c r="G3962" s="252" t="s">
        <v>868</v>
      </c>
      <c r="H3962" s="252" t="str">
        <f>H3946</f>
        <v>MOULDING CHARGES</v>
      </c>
      <c r="I3962" s="252">
        <f>I3946</f>
        <v>25</v>
      </c>
      <c r="J3962" s="296" t="s">
        <v>868</v>
      </c>
      <c r="K3962" s="252">
        <f t="shared" si="375"/>
        <v>25</v>
      </c>
      <c r="W3962" s="253"/>
    </row>
    <row r="3963" spans="6:23" ht="20.25" customHeight="1">
      <c r="F3963" s="252">
        <v>0.5</v>
      </c>
      <c r="G3963" s="252" t="s">
        <v>868</v>
      </c>
      <c r="H3963" s="296" t="s">
        <v>1196</v>
      </c>
      <c r="I3963" s="252">
        <f>I3947</f>
        <v>534</v>
      </c>
      <c r="J3963" s="296" t="s">
        <v>868</v>
      </c>
      <c r="K3963" s="252">
        <f t="shared" si="375"/>
        <v>267</v>
      </c>
      <c r="W3963" s="253"/>
    </row>
    <row r="3964" spans="6:23" ht="20.25" customHeight="1">
      <c r="G3964" s="252" t="s">
        <v>449</v>
      </c>
      <c r="H3964" s="296" t="s">
        <v>2139</v>
      </c>
      <c r="I3964" s="252">
        <f>I3948</f>
        <v>0</v>
      </c>
      <c r="J3964" s="296" t="s">
        <v>449</v>
      </c>
      <c r="K3964" s="252">
        <v>1.39</v>
      </c>
      <c r="W3964" s="253"/>
    </row>
    <row r="3965" spans="6:23" ht="20.25" customHeight="1">
      <c r="K3965" s="358" t="s">
        <v>1586</v>
      </c>
      <c r="W3965" s="253"/>
    </row>
    <row r="3966" spans="6:23" ht="20.25" customHeight="1">
      <c r="H3966" s="255" t="s">
        <v>283</v>
      </c>
      <c r="K3966" s="274">
        <f>SUM(K3954:K3964)</f>
        <v>2763.27</v>
      </c>
      <c r="W3966" s="253"/>
    </row>
    <row r="3967" spans="6:23" ht="20.25" customHeight="1">
      <c r="K3967" s="358" t="s">
        <v>1586</v>
      </c>
      <c r="W3967" s="253"/>
    </row>
    <row r="3968" spans="6:23" ht="20.25" customHeight="1">
      <c r="W3968" s="253"/>
    </row>
    <row r="3969" spans="6:23" ht="20.25" customHeight="1">
      <c r="H3969" s="253" t="s">
        <v>1743</v>
      </c>
      <c r="J3969" s="252"/>
      <c r="K3969" s="358"/>
      <c r="W3969" s="253"/>
    </row>
    <row r="3970" spans="6:23" ht="20.25" customHeight="1">
      <c r="J3970" s="252"/>
      <c r="K3970" s="358"/>
      <c r="W3970" s="253"/>
    </row>
    <row r="3971" spans="6:23" ht="20.25" customHeight="1">
      <c r="F3971" s="400">
        <v>6.5000000000000002E-2</v>
      </c>
      <c r="G3971" s="252" t="s">
        <v>869</v>
      </c>
      <c r="H3971" s="296" t="s">
        <v>2073</v>
      </c>
      <c r="I3971" s="252">
        <f>I3954</f>
        <v>8698.43</v>
      </c>
      <c r="J3971" s="296" t="s">
        <v>869</v>
      </c>
      <c r="K3971" s="252">
        <f>I3971*F3971</f>
        <v>565.4</v>
      </c>
      <c r="W3971" s="253"/>
    </row>
    <row r="3972" spans="6:23" ht="20.25" customHeight="1">
      <c r="F3972" s="438">
        <v>8.4499999999999993</v>
      </c>
      <c r="G3972" s="252" t="s">
        <v>1645</v>
      </c>
      <c r="H3972" s="296" t="s">
        <v>2074</v>
      </c>
      <c r="I3972" s="252">
        <f t="shared" ref="I3972:I3981" si="376">I3955</f>
        <v>88873.5</v>
      </c>
      <c r="J3972" s="296" t="s">
        <v>861</v>
      </c>
      <c r="K3972" s="252">
        <f>I3972*F3972/1000</f>
        <v>750.98</v>
      </c>
      <c r="W3972" s="253"/>
    </row>
    <row r="3973" spans="6:23" ht="20.25" customHeight="1">
      <c r="F3973" s="252">
        <v>3</v>
      </c>
      <c r="G3973" s="252" t="s">
        <v>868</v>
      </c>
      <c r="H3973" s="296" t="s">
        <v>1186</v>
      </c>
      <c r="I3973" s="252">
        <f t="shared" si="376"/>
        <v>14.8</v>
      </c>
      <c r="J3973" s="296" t="s">
        <v>868</v>
      </c>
      <c r="K3973" s="252">
        <f t="shared" ref="K3973:K3980" si="377">I3973*F3973</f>
        <v>44.4</v>
      </c>
      <c r="W3973" s="253"/>
    </row>
    <row r="3974" spans="6:23" ht="20.25" customHeight="1">
      <c r="F3974" s="252">
        <v>12</v>
      </c>
      <c r="G3974" s="252" t="s">
        <v>868</v>
      </c>
      <c r="H3974" s="296" t="s">
        <v>1187</v>
      </c>
      <c r="I3974" s="252">
        <f t="shared" si="376"/>
        <v>2</v>
      </c>
      <c r="J3974" s="296" t="s">
        <v>868</v>
      </c>
      <c r="K3974" s="252">
        <f t="shared" si="377"/>
        <v>24</v>
      </c>
      <c r="W3974" s="253"/>
    </row>
    <row r="3975" spans="6:23" ht="20.25" customHeight="1">
      <c r="F3975" s="252">
        <v>2</v>
      </c>
      <c r="G3975" s="252" t="s">
        <v>868</v>
      </c>
      <c r="H3975" s="296" t="s">
        <v>1188</v>
      </c>
      <c r="I3975" s="252">
        <f t="shared" si="376"/>
        <v>4.9000000000000004</v>
      </c>
      <c r="J3975" s="296" t="s">
        <v>868</v>
      </c>
      <c r="K3975" s="252">
        <f t="shared" si="377"/>
        <v>9.8000000000000007</v>
      </c>
      <c r="W3975" s="253"/>
    </row>
    <row r="3976" spans="6:23" ht="20.25" customHeight="1">
      <c r="F3976" s="252">
        <v>6</v>
      </c>
      <c r="G3976" s="252" t="s">
        <v>868</v>
      </c>
      <c r="H3976" s="296" t="s">
        <v>2220</v>
      </c>
      <c r="I3976" s="252">
        <f t="shared" si="376"/>
        <v>4.45</v>
      </c>
      <c r="J3976" s="296" t="s">
        <v>868</v>
      </c>
      <c r="K3976" s="252">
        <f t="shared" si="377"/>
        <v>26.7</v>
      </c>
      <c r="W3976" s="253"/>
    </row>
    <row r="3977" spans="6:23" ht="20.25" customHeight="1">
      <c r="F3977" s="252">
        <v>1</v>
      </c>
      <c r="G3977" s="252" t="s">
        <v>868</v>
      </c>
      <c r="H3977" s="296" t="s">
        <v>1193</v>
      </c>
      <c r="I3977" s="252">
        <f t="shared" si="376"/>
        <v>999</v>
      </c>
      <c r="J3977" s="296" t="s">
        <v>868</v>
      </c>
      <c r="K3977" s="252">
        <f t="shared" si="377"/>
        <v>999</v>
      </c>
      <c r="W3977" s="253"/>
    </row>
    <row r="3978" spans="6:23" ht="20.25" customHeight="1">
      <c r="F3978" s="252">
        <v>1</v>
      </c>
      <c r="G3978" s="252" t="s">
        <v>868</v>
      </c>
      <c r="H3978" s="296" t="s">
        <v>1194</v>
      </c>
      <c r="I3978" s="252">
        <f t="shared" si="376"/>
        <v>651</v>
      </c>
      <c r="J3978" s="296" t="s">
        <v>868</v>
      </c>
      <c r="K3978" s="252">
        <f t="shared" si="377"/>
        <v>651</v>
      </c>
      <c r="W3978" s="253"/>
    </row>
    <row r="3979" spans="6:23" ht="20.25" customHeight="1">
      <c r="F3979" s="252">
        <v>1</v>
      </c>
      <c r="G3979" s="252" t="s">
        <v>868</v>
      </c>
      <c r="H3979" s="296" t="s">
        <v>1195</v>
      </c>
      <c r="I3979" s="252">
        <f t="shared" si="376"/>
        <v>25</v>
      </c>
      <c r="J3979" s="296" t="s">
        <v>868</v>
      </c>
      <c r="K3979" s="252">
        <f t="shared" si="377"/>
        <v>25</v>
      </c>
      <c r="W3979" s="253"/>
    </row>
    <row r="3980" spans="6:23" ht="20.25" customHeight="1">
      <c r="F3980" s="252">
        <v>0.5</v>
      </c>
      <c r="G3980" s="252" t="s">
        <v>868</v>
      </c>
      <c r="H3980" s="296" t="s">
        <v>1196</v>
      </c>
      <c r="I3980" s="252">
        <f t="shared" si="376"/>
        <v>534</v>
      </c>
      <c r="J3980" s="296" t="s">
        <v>868</v>
      </c>
      <c r="K3980" s="252">
        <f t="shared" si="377"/>
        <v>267</v>
      </c>
      <c r="W3980" s="253"/>
    </row>
    <row r="3981" spans="6:23" ht="20.25" customHeight="1">
      <c r="G3981" s="252" t="s">
        <v>449</v>
      </c>
      <c r="H3981" s="296" t="s">
        <v>2139</v>
      </c>
      <c r="I3981" s="252">
        <f t="shared" si="376"/>
        <v>0</v>
      </c>
      <c r="J3981" s="296" t="s">
        <v>449</v>
      </c>
      <c r="K3981" s="252">
        <v>2.1</v>
      </c>
      <c r="W3981" s="253"/>
    </row>
    <row r="3982" spans="6:23" ht="20.25" customHeight="1">
      <c r="K3982" s="358" t="s">
        <v>1586</v>
      </c>
      <c r="W3982" s="253"/>
    </row>
    <row r="3983" spans="6:23" ht="20.25" customHeight="1">
      <c r="H3983" s="255" t="s">
        <v>283</v>
      </c>
      <c r="K3983" s="274">
        <f>SUM(K3971:K3981)</f>
        <v>3365.38</v>
      </c>
      <c r="W3983" s="253"/>
    </row>
    <row r="3984" spans="6:23" ht="20.25" customHeight="1">
      <c r="K3984" s="358" t="s">
        <v>1586</v>
      </c>
      <c r="W3984" s="253"/>
    </row>
    <row r="3985" spans="6:23" ht="20.25" customHeight="1">
      <c r="F3985" s="1175" t="s">
        <v>4311</v>
      </c>
      <c r="G3985" s="1175"/>
      <c r="H3985" s="1175"/>
      <c r="I3985" s="469"/>
      <c r="J3985" s="469"/>
      <c r="W3985" s="253"/>
    </row>
    <row r="3986" spans="6:23" ht="20.25" customHeight="1">
      <c r="F3986" s="356"/>
      <c r="H3986" s="461" t="s">
        <v>4312</v>
      </c>
      <c r="W3986" s="253"/>
    </row>
    <row r="3987" spans="6:23" ht="20.25" customHeight="1">
      <c r="F3987" s="356">
        <v>4.88</v>
      </c>
      <c r="G3987" s="252" t="s">
        <v>913</v>
      </c>
      <c r="H3987" s="296" t="s">
        <v>1854</v>
      </c>
      <c r="I3987" s="252">
        <f>AB1350</f>
        <v>325</v>
      </c>
      <c r="J3987" s="252" t="s">
        <v>913</v>
      </c>
      <c r="K3987" s="252">
        <f t="shared" ref="K3987:K3996" si="378">I3987*F3987</f>
        <v>1586</v>
      </c>
      <c r="W3987" s="253"/>
    </row>
    <row r="3988" spans="6:23" ht="20.25" customHeight="1">
      <c r="F3988" s="356">
        <v>7.76</v>
      </c>
      <c r="G3988" s="252" t="s">
        <v>913</v>
      </c>
      <c r="H3988" s="296" t="s">
        <v>1854</v>
      </c>
      <c r="I3988" s="252">
        <f>I3987</f>
        <v>325</v>
      </c>
      <c r="J3988" s="252" t="s">
        <v>913</v>
      </c>
      <c r="K3988" s="252">
        <f t="shared" si="378"/>
        <v>2522</v>
      </c>
      <c r="W3988" s="253"/>
    </row>
    <row r="3989" spans="6:23" ht="20.25" customHeight="1">
      <c r="F3989" s="356">
        <v>3.03</v>
      </c>
      <c r="G3989" s="252" t="s">
        <v>913</v>
      </c>
      <c r="H3989" s="296" t="s">
        <v>1854</v>
      </c>
      <c r="I3989" s="252">
        <f>I3988</f>
        <v>325</v>
      </c>
      <c r="J3989" s="252" t="s">
        <v>913</v>
      </c>
      <c r="K3989" s="252">
        <f t="shared" si="378"/>
        <v>984.75</v>
      </c>
      <c r="W3989" s="253"/>
    </row>
    <row r="3990" spans="6:23" ht="20.25" customHeight="1">
      <c r="F3990" s="356">
        <v>1.45</v>
      </c>
      <c r="G3990" s="252" t="s">
        <v>913</v>
      </c>
      <c r="H3990" s="296" t="s">
        <v>1854</v>
      </c>
      <c r="I3990" s="252">
        <f>I3989</f>
        <v>325</v>
      </c>
      <c r="J3990" s="252" t="s">
        <v>913</v>
      </c>
      <c r="K3990" s="252">
        <f t="shared" si="378"/>
        <v>471.25</v>
      </c>
      <c r="W3990" s="253"/>
    </row>
    <row r="3991" spans="6:23" ht="20.25" customHeight="1">
      <c r="F3991" s="356">
        <v>2.4300000000000002</v>
      </c>
      <c r="G3991" s="252" t="s">
        <v>233</v>
      </c>
      <c r="H3991" s="296" t="s">
        <v>1855</v>
      </c>
      <c r="I3991" s="252">
        <f>AB1354</f>
        <v>306.89999999999998</v>
      </c>
      <c r="J3991" s="252" t="s">
        <v>233</v>
      </c>
      <c r="K3991" s="252">
        <f t="shared" si="378"/>
        <v>745.77</v>
      </c>
      <c r="W3991" s="253"/>
    </row>
    <row r="3992" spans="6:23" ht="20.25" customHeight="1">
      <c r="F3992" s="356">
        <v>11.7</v>
      </c>
      <c r="G3992" s="252" t="s">
        <v>826</v>
      </c>
      <c r="H3992" s="296" t="s">
        <v>1856</v>
      </c>
      <c r="I3992" s="252">
        <f>AB1355</f>
        <v>29.05</v>
      </c>
      <c r="J3992" s="252" t="s">
        <v>826</v>
      </c>
      <c r="K3992" s="252">
        <f t="shared" si="378"/>
        <v>339.89</v>
      </c>
      <c r="W3992" s="253"/>
    </row>
    <row r="3993" spans="6:23" ht="20.25" customHeight="1">
      <c r="F3993" s="356">
        <v>3</v>
      </c>
      <c r="G3993" s="252" t="s">
        <v>769</v>
      </c>
      <c r="H3993" s="296" t="s">
        <v>4313</v>
      </c>
      <c r="I3993" s="252">
        <v>350</v>
      </c>
      <c r="J3993" s="252" t="s">
        <v>769</v>
      </c>
      <c r="K3993" s="252">
        <f t="shared" si="378"/>
        <v>1050</v>
      </c>
      <c r="W3993" s="253"/>
    </row>
    <row r="3994" spans="6:23" ht="20.25" customHeight="1">
      <c r="F3994" s="356">
        <v>3</v>
      </c>
      <c r="G3994" s="252" t="s">
        <v>769</v>
      </c>
      <c r="H3994" s="296" t="s">
        <v>1858</v>
      </c>
      <c r="I3994" s="252">
        <f>V1359</f>
        <v>57.65</v>
      </c>
      <c r="J3994" s="252" t="s">
        <v>769</v>
      </c>
      <c r="K3994" s="252">
        <f t="shared" si="378"/>
        <v>172.95</v>
      </c>
      <c r="W3994" s="253"/>
    </row>
    <row r="3995" spans="6:23" ht="20.25" customHeight="1">
      <c r="F3995" s="356">
        <v>4</v>
      </c>
      <c r="G3995" s="252" t="s">
        <v>769</v>
      </c>
      <c r="H3995" s="296" t="s">
        <v>1861</v>
      </c>
      <c r="I3995" s="252">
        <f>AB1360</f>
        <v>15</v>
      </c>
      <c r="J3995" s="252" t="s">
        <v>769</v>
      </c>
      <c r="K3995" s="252">
        <f t="shared" si="378"/>
        <v>60</v>
      </c>
      <c r="W3995" s="253"/>
    </row>
    <row r="3996" spans="6:23" ht="20.25" customHeight="1">
      <c r="F3996" s="356">
        <v>2.4300000000000002</v>
      </c>
      <c r="G3996" s="252" t="s">
        <v>2283</v>
      </c>
      <c r="H3996" s="296" t="s">
        <v>1862</v>
      </c>
      <c r="I3996" s="252">
        <f>AB1361</f>
        <v>1998</v>
      </c>
      <c r="J3996" s="252" t="s">
        <v>769</v>
      </c>
      <c r="K3996" s="252">
        <f t="shared" si="378"/>
        <v>4855.1400000000003</v>
      </c>
      <c r="W3996" s="253"/>
    </row>
    <row r="3997" spans="6:23" ht="20.25" customHeight="1">
      <c r="F3997" s="356"/>
      <c r="H3997" s="296" t="s">
        <v>1863</v>
      </c>
      <c r="J3997" s="252"/>
      <c r="W3997" s="253"/>
    </row>
    <row r="3998" spans="6:23" ht="20.25" customHeight="1">
      <c r="F3998" s="356"/>
      <c r="H3998" s="360" t="s">
        <v>3536</v>
      </c>
      <c r="J3998" s="252"/>
      <c r="K3998" s="252">
        <f>SUM(K3987:K3997)</f>
        <v>12787.75</v>
      </c>
      <c r="W3998" s="253"/>
    </row>
    <row r="3999" spans="6:23" ht="20.25" customHeight="1">
      <c r="F3999" s="356"/>
      <c r="H3999" s="360" t="s">
        <v>4314</v>
      </c>
      <c r="J3999" s="252" t="s">
        <v>2283</v>
      </c>
      <c r="K3999" s="252">
        <f>K3998/F3996</f>
        <v>5262.45</v>
      </c>
      <c r="W3999" s="253"/>
    </row>
    <row r="4000" spans="6:23" ht="20.25" customHeight="1">
      <c r="F4000" s="356"/>
      <c r="J4000" s="252"/>
      <c r="K4000" s="274"/>
      <c r="W4000" s="253"/>
    </row>
    <row r="4001" spans="6:23" ht="20.25" customHeight="1">
      <c r="F4001" s="356"/>
      <c r="J4001" s="252"/>
      <c r="W4001" s="253"/>
    </row>
    <row r="4002" spans="6:23" ht="20.25" customHeight="1">
      <c r="H4002" s="1175" t="s">
        <v>4315</v>
      </c>
      <c r="I4002" s="1175"/>
      <c r="J4002" s="1175"/>
      <c r="K4002" s="1175"/>
      <c r="W4002" s="253"/>
    </row>
    <row r="4003" spans="6:23" ht="20.25" customHeight="1">
      <c r="F4003" s="316"/>
      <c r="H4003" s="296"/>
      <c r="J4003" s="252"/>
      <c r="W4003" s="253"/>
    </row>
    <row r="4004" spans="6:23" ht="20.25" customHeight="1">
      <c r="F4004" s="316"/>
      <c r="H4004" s="296"/>
      <c r="J4004" s="252"/>
      <c r="W4004" s="253"/>
    </row>
    <row r="4005" spans="6:23" ht="20.25" customHeight="1">
      <c r="F4005" s="316"/>
      <c r="H4005" s="296"/>
      <c r="J4005" s="252"/>
      <c r="W4005" s="253"/>
    </row>
    <row r="4006" spans="6:23" ht="20.25" customHeight="1">
      <c r="F4006" s="316">
        <v>12.08</v>
      </c>
      <c r="G4006" s="252" t="s">
        <v>913</v>
      </c>
      <c r="H4006" s="296" t="s">
        <v>1854</v>
      </c>
      <c r="I4006" s="252">
        <f>I3987</f>
        <v>325</v>
      </c>
      <c r="J4006" s="252" t="s">
        <v>913</v>
      </c>
      <c r="K4006" s="252">
        <f>I4006*F4006</f>
        <v>3926</v>
      </c>
      <c r="W4006" s="253"/>
    </row>
    <row r="4007" spans="6:23" ht="20.25" customHeight="1">
      <c r="F4007" s="316">
        <v>1.823</v>
      </c>
      <c r="G4007" s="252" t="s">
        <v>233</v>
      </c>
      <c r="H4007" s="296" t="s">
        <v>1855</v>
      </c>
      <c r="I4007" s="252">
        <f>I3991</f>
        <v>306.89999999999998</v>
      </c>
      <c r="J4007" s="252" t="s">
        <v>233</v>
      </c>
      <c r="K4007" s="252">
        <f t="shared" ref="K4007:K4012" si="379">I4007*F4007</f>
        <v>559.48</v>
      </c>
      <c r="W4007" s="253"/>
    </row>
    <row r="4008" spans="6:23" ht="20.25" customHeight="1">
      <c r="F4008" s="316">
        <v>8.1</v>
      </c>
      <c r="G4008" s="252" t="s">
        <v>826</v>
      </c>
      <c r="H4008" s="296" t="s">
        <v>1856</v>
      </c>
      <c r="I4008" s="252">
        <f>I3992</f>
        <v>29.05</v>
      </c>
      <c r="J4008" s="252" t="s">
        <v>826</v>
      </c>
      <c r="K4008" s="252">
        <f t="shared" si="379"/>
        <v>235.31</v>
      </c>
      <c r="W4008" s="253"/>
    </row>
    <row r="4009" spans="6:23" ht="20.25" customHeight="1">
      <c r="F4009" s="316">
        <v>2</v>
      </c>
      <c r="G4009" s="252" t="s">
        <v>3926</v>
      </c>
      <c r="H4009" s="296" t="s">
        <v>4316</v>
      </c>
      <c r="I4009" s="252">
        <f>I3993</f>
        <v>350</v>
      </c>
      <c r="J4009" s="252" t="s">
        <v>769</v>
      </c>
      <c r="K4009" s="252">
        <f t="shared" si="379"/>
        <v>700</v>
      </c>
      <c r="W4009" s="253"/>
    </row>
    <row r="4010" spans="6:23" ht="20.25" customHeight="1">
      <c r="F4010" s="316">
        <v>2</v>
      </c>
      <c r="G4010" s="252" t="s">
        <v>769</v>
      </c>
      <c r="H4010" s="296" t="s">
        <v>1858</v>
      </c>
      <c r="I4010" s="252">
        <f>I3994</f>
        <v>57.65</v>
      </c>
      <c r="J4010" s="252" t="s">
        <v>769</v>
      </c>
      <c r="K4010" s="252">
        <f t="shared" si="379"/>
        <v>115.3</v>
      </c>
      <c r="W4010" s="253"/>
    </row>
    <row r="4011" spans="6:23" ht="20.25" customHeight="1">
      <c r="F4011" s="316">
        <v>4</v>
      </c>
      <c r="G4011" s="252" t="s">
        <v>769</v>
      </c>
      <c r="H4011" s="296" t="s">
        <v>1861</v>
      </c>
      <c r="I4011" s="314">
        <v>15</v>
      </c>
      <c r="J4011" s="252" t="s">
        <v>769</v>
      </c>
      <c r="K4011" s="252">
        <f t="shared" si="379"/>
        <v>60</v>
      </c>
      <c r="W4011" s="253"/>
    </row>
    <row r="4012" spans="6:23" ht="20.25" customHeight="1">
      <c r="F4012" s="316">
        <v>1.823</v>
      </c>
      <c r="G4012" s="252" t="s">
        <v>2283</v>
      </c>
      <c r="H4012" s="296" t="s">
        <v>1862</v>
      </c>
      <c r="I4012" s="252">
        <f>I3996</f>
        <v>1998</v>
      </c>
      <c r="J4012" s="252" t="s">
        <v>2283</v>
      </c>
      <c r="K4012" s="252">
        <f t="shared" si="379"/>
        <v>3642.35</v>
      </c>
      <c r="W4012" s="253"/>
    </row>
    <row r="4013" spans="6:23" ht="20.25" customHeight="1">
      <c r="H4013" s="296"/>
      <c r="J4013" s="253"/>
      <c r="W4013" s="253"/>
    </row>
    <row r="4014" spans="6:23" ht="20.25" customHeight="1">
      <c r="H4014" s="407" t="s">
        <v>4317</v>
      </c>
      <c r="J4014" s="252"/>
      <c r="K4014" s="252">
        <f>SUM(K4006:K4013)</f>
        <v>9238.44</v>
      </c>
      <c r="W4014" s="253"/>
    </row>
    <row r="4015" spans="6:23" ht="20.25" customHeight="1">
      <c r="H4015" s="407" t="s">
        <v>4318</v>
      </c>
      <c r="J4015" s="252"/>
      <c r="K4015" s="274">
        <f>K4014/F4012</f>
        <v>5067.71</v>
      </c>
      <c r="W4015" s="253"/>
    </row>
    <row r="4016" spans="6:23" ht="20.25" customHeight="1">
      <c r="H4016" s="407"/>
      <c r="J4016" s="252"/>
      <c r="W4016" s="253"/>
    </row>
    <row r="4017" spans="6:23" ht="20.25" customHeight="1">
      <c r="F4017" s="356"/>
      <c r="H4017" s="461" t="s">
        <v>4319</v>
      </c>
      <c r="W4017" s="253"/>
    </row>
    <row r="4018" spans="6:23" ht="20.25" customHeight="1">
      <c r="F4018" s="356">
        <v>3.72</v>
      </c>
      <c r="G4018" s="252" t="s">
        <v>913</v>
      </c>
      <c r="H4018" s="296" t="s">
        <v>1854</v>
      </c>
      <c r="I4018" s="252">
        <f>I3987</f>
        <v>325</v>
      </c>
      <c r="J4018" s="252" t="s">
        <v>913</v>
      </c>
      <c r="K4018" s="252">
        <f>I4018*F4018</f>
        <v>1209</v>
      </c>
      <c r="W4018" s="253"/>
    </row>
    <row r="4019" spans="6:23" ht="20.25" customHeight="1">
      <c r="F4019" s="356">
        <v>4.57</v>
      </c>
      <c r="G4019" s="252" t="s">
        <v>913</v>
      </c>
      <c r="H4019" s="296" t="s">
        <v>1854</v>
      </c>
      <c r="I4019" s="252">
        <f>I4018</f>
        <v>325</v>
      </c>
      <c r="J4019" s="252" t="s">
        <v>913</v>
      </c>
      <c r="K4019" s="252">
        <f t="shared" ref="K4019:K4025" si="380">I4019*F4019</f>
        <v>1485.25</v>
      </c>
      <c r="W4019" s="253"/>
    </row>
    <row r="4020" spans="6:23" ht="20.25" customHeight="1">
      <c r="F4020" s="356">
        <v>1.18</v>
      </c>
      <c r="G4020" s="252" t="s">
        <v>913</v>
      </c>
      <c r="H4020" s="296" t="s">
        <v>1854</v>
      </c>
      <c r="I4020" s="252">
        <f>I4019</f>
        <v>325</v>
      </c>
      <c r="J4020" s="252" t="s">
        <v>913</v>
      </c>
      <c r="K4020" s="252">
        <f t="shared" si="380"/>
        <v>383.5</v>
      </c>
      <c r="W4020" s="253"/>
    </row>
    <row r="4021" spans="6:23" ht="20.25" customHeight="1">
      <c r="F4021" s="356">
        <v>0.86</v>
      </c>
      <c r="G4021" s="252" t="s">
        <v>913</v>
      </c>
      <c r="H4021" s="296" t="s">
        <v>1854</v>
      </c>
      <c r="I4021" s="252">
        <f>I4020</f>
        <v>325</v>
      </c>
      <c r="J4021" s="252" t="s">
        <v>913</v>
      </c>
      <c r="K4021" s="252">
        <f t="shared" si="380"/>
        <v>279.5</v>
      </c>
      <c r="W4021" s="253"/>
    </row>
    <row r="4022" spans="6:23" ht="20.25" customHeight="1">
      <c r="F4022" s="356">
        <v>1.42</v>
      </c>
      <c r="G4022" s="252" t="s">
        <v>233</v>
      </c>
      <c r="H4022" s="296" t="s">
        <v>1855</v>
      </c>
      <c r="I4022" s="252">
        <f t="shared" ref="I4022:I4027" si="381">I4007</f>
        <v>306.89999999999998</v>
      </c>
      <c r="J4022" s="252" t="s">
        <v>233</v>
      </c>
      <c r="K4022" s="252">
        <f t="shared" si="380"/>
        <v>435.8</v>
      </c>
      <c r="W4022" s="253"/>
    </row>
    <row r="4023" spans="6:23" ht="20.25" customHeight="1">
      <c r="F4023" s="356">
        <v>6.9</v>
      </c>
      <c r="G4023" s="252" t="s">
        <v>826</v>
      </c>
      <c r="H4023" s="296" t="s">
        <v>1856</v>
      </c>
      <c r="I4023" s="252">
        <f t="shared" si="381"/>
        <v>29.05</v>
      </c>
      <c r="J4023" s="252" t="s">
        <v>826</v>
      </c>
      <c r="K4023" s="252">
        <f t="shared" si="380"/>
        <v>200.45</v>
      </c>
      <c r="W4023" s="253"/>
    </row>
    <row r="4024" spans="6:23" ht="20.25" customHeight="1">
      <c r="F4024" s="356">
        <v>2</v>
      </c>
      <c r="G4024" s="252" t="s">
        <v>769</v>
      </c>
      <c r="H4024" s="296" t="s">
        <v>4316</v>
      </c>
      <c r="I4024" s="252">
        <f t="shared" si="381"/>
        <v>350</v>
      </c>
      <c r="J4024" s="252" t="s">
        <v>769</v>
      </c>
      <c r="K4024" s="252">
        <f t="shared" si="380"/>
        <v>700</v>
      </c>
      <c r="W4024" s="253"/>
    </row>
    <row r="4025" spans="6:23" ht="20.25" customHeight="1">
      <c r="F4025" s="356">
        <v>2</v>
      </c>
      <c r="G4025" s="252" t="s">
        <v>769</v>
      </c>
      <c r="H4025" s="296" t="s">
        <v>1858</v>
      </c>
      <c r="I4025" s="252">
        <f t="shared" si="381"/>
        <v>57.65</v>
      </c>
      <c r="J4025" s="252" t="s">
        <v>769</v>
      </c>
      <c r="K4025" s="252">
        <f t="shared" si="380"/>
        <v>115.3</v>
      </c>
      <c r="W4025" s="253"/>
    </row>
    <row r="4026" spans="6:23" ht="20.25" customHeight="1">
      <c r="F4026" s="356">
        <v>4</v>
      </c>
      <c r="G4026" s="252" t="s">
        <v>769</v>
      </c>
      <c r="H4026" s="296" t="s">
        <v>1861</v>
      </c>
      <c r="I4026" s="252">
        <f t="shared" si="381"/>
        <v>15</v>
      </c>
      <c r="J4026" s="252" t="s">
        <v>769</v>
      </c>
      <c r="K4026" s="252">
        <f>I4026*F4026</f>
        <v>60</v>
      </c>
      <c r="W4026" s="253"/>
    </row>
    <row r="4027" spans="6:23" ht="20.25" customHeight="1">
      <c r="F4027" s="356">
        <v>1.42</v>
      </c>
      <c r="G4027" s="252" t="s">
        <v>2283</v>
      </c>
      <c r="H4027" s="296" t="s">
        <v>1862</v>
      </c>
      <c r="I4027" s="252">
        <f t="shared" si="381"/>
        <v>1998</v>
      </c>
      <c r="J4027" s="252" t="s">
        <v>2283</v>
      </c>
      <c r="K4027" s="252">
        <f>I4027*F4027</f>
        <v>2837.16</v>
      </c>
      <c r="W4027" s="253"/>
    </row>
    <row r="4028" spans="6:23" ht="20.25" customHeight="1">
      <c r="F4028" s="356"/>
      <c r="H4028" s="296" t="s">
        <v>1863</v>
      </c>
      <c r="J4028" s="253"/>
      <c r="W4028" s="253"/>
    </row>
    <row r="4029" spans="6:23" ht="20.25" customHeight="1">
      <c r="F4029" s="356"/>
      <c r="H4029" s="360" t="s">
        <v>3536</v>
      </c>
      <c r="J4029" s="252"/>
      <c r="K4029" s="252">
        <f>SUM(K4018:K4028)</f>
        <v>7705.96</v>
      </c>
      <c r="W4029" s="253"/>
    </row>
    <row r="4030" spans="6:23" ht="20.25" customHeight="1">
      <c r="F4030" s="356"/>
      <c r="H4030" s="407" t="s">
        <v>4318</v>
      </c>
      <c r="J4030" s="252"/>
      <c r="K4030" s="274">
        <f>K4029/F4027</f>
        <v>5426.73</v>
      </c>
      <c r="W4030" s="253"/>
    </row>
    <row r="4031" spans="6:23" ht="20.25" customHeight="1">
      <c r="F4031" s="356"/>
      <c r="J4031" s="252"/>
      <c r="K4031" s="274"/>
      <c r="W4031" s="253"/>
    </row>
    <row r="4032" spans="6:23" ht="20.25" customHeight="1">
      <c r="F4032" s="356"/>
      <c r="H4032" s="461" t="s">
        <v>4320</v>
      </c>
      <c r="W4032" s="253"/>
    </row>
    <row r="4033" spans="6:23" ht="20.25" customHeight="1">
      <c r="F4033" s="474">
        <v>11.61</v>
      </c>
      <c r="G4033" s="471" t="s">
        <v>913</v>
      </c>
      <c r="H4033" s="475" t="s">
        <v>1854</v>
      </c>
      <c r="I4033" s="471">
        <f>I4018</f>
        <v>325</v>
      </c>
      <c r="J4033" s="471" t="s">
        <v>913</v>
      </c>
      <c r="K4033" s="471">
        <f>I4033*F4033</f>
        <v>3773.25</v>
      </c>
      <c r="W4033" s="253"/>
    </row>
    <row r="4034" spans="6:23" ht="20.25" customHeight="1">
      <c r="F4034" s="474">
        <v>7.8</v>
      </c>
      <c r="G4034" s="471" t="s">
        <v>826</v>
      </c>
      <c r="H4034" s="475" t="s">
        <v>3917</v>
      </c>
      <c r="I4034" s="471">
        <f>I4023</f>
        <v>29.05</v>
      </c>
      <c r="J4034" s="471" t="s">
        <v>826</v>
      </c>
      <c r="K4034" s="471">
        <f t="shared" ref="K4034:K4039" si="382">I4034*F4034</f>
        <v>226.59</v>
      </c>
      <c r="W4034" s="253"/>
    </row>
    <row r="4035" spans="6:23" ht="20.25" customHeight="1">
      <c r="F4035" s="474">
        <v>1.62</v>
      </c>
      <c r="G4035" s="471" t="s">
        <v>233</v>
      </c>
      <c r="H4035" s="475" t="s">
        <v>3918</v>
      </c>
      <c r="I4035" s="471">
        <f>I4022</f>
        <v>306.89999999999998</v>
      </c>
      <c r="J4035" s="471" t="s">
        <v>233</v>
      </c>
      <c r="K4035" s="471">
        <f t="shared" si="382"/>
        <v>497.18</v>
      </c>
      <c r="W4035" s="253"/>
    </row>
    <row r="4036" spans="6:23" ht="20.25" customHeight="1">
      <c r="F4036" s="474">
        <v>2</v>
      </c>
      <c r="G4036" s="471" t="s">
        <v>769</v>
      </c>
      <c r="H4036" s="475" t="s">
        <v>3919</v>
      </c>
      <c r="I4036" s="471">
        <f>I4025</f>
        <v>57.65</v>
      </c>
      <c r="J4036" s="471" t="s">
        <v>769</v>
      </c>
      <c r="K4036" s="471">
        <f t="shared" si="382"/>
        <v>115.3</v>
      </c>
      <c r="W4036" s="253"/>
    </row>
    <row r="4037" spans="6:23" ht="20.25" customHeight="1">
      <c r="F4037" s="474">
        <v>2</v>
      </c>
      <c r="G4037" s="471" t="s">
        <v>769</v>
      </c>
      <c r="H4037" s="475" t="s">
        <v>4321</v>
      </c>
      <c r="I4037" s="471">
        <f>I4024</f>
        <v>350</v>
      </c>
      <c r="J4037" s="471" t="s">
        <v>769</v>
      </c>
      <c r="K4037" s="471">
        <f t="shared" si="382"/>
        <v>700</v>
      </c>
      <c r="W4037" s="253"/>
    </row>
    <row r="4038" spans="6:23" ht="20.25" customHeight="1">
      <c r="F4038" s="474">
        <v>4</v>
      </c>
      <c r="G4038" s="471" t="s">
        <v>769</v>
      </c>
      <c r="H4038" s="475" t="s">
        <v>3921</v>
      </c>
      <c r="I4038" s="471">
        <f>I4026</f>
        <v>15</v>
      </c>
      <c r="J4038" s="471" t="s">
        <v>769</v>
      </c>
      <c r="K4038" s="471">
        <f t="shared" si="382"/>
        <v>60</v>
      </c>
      <c r="W4038" s="253"/>
    </row>
    <row r="4039" spans="6:23" ht="20.25" customHeight="1">
      <c r="F4039" s="474">
        <v>1.62</v>
      </c>
      <c r="G4039" s="471" t="s">
        <v>2283</v>
      </c>
      <c r="H4039" s="475" t="s">
        <v>3922</v>
      </c>
      <c r="I4039" s="471">
        <f>I4027</f>
        <v>1998</v>
      </c>
      <c r="J4039" s="471" t="s">
        <v>2283</v>
      </c>
      <c r="K4039" s="471">
        <f t="shared" si="382"/>
        <v>3236.76</v>
      </c>
      <c r="W4039" s="253"/>
    </row>
    <row r="4040" spans="6:23" ht="20.25" customHeight="1">
      <c r="F4040" s="471"/>
      <c r="G4040" s="471"/>
      <c r="H4040" s="475" t="s">
        <v>2271</v>
      </c>
      <c r="I4040" s="471"/>
      <c r="J4040" s="476"/>
      <c r="K4040" s="471"/>
      <c r="W4040" s="253"/>
    </row>
    <row r="4041" spans="6:23" ht="20.25" customHeight="1">
      <c r="F4041" s="471"/>
      <c r="G4041" s="471"/>
      <c r="H4041" s="360" t="s">
        <v>3536</v>
      </c>
      <c r="J4041" s="252"/>
      <c r="K4041" s="252">
        <f>SUM(K4033:K4040)</f>
        <v>8609.08</v>
      </c>
      <c r="W4041" s="253"/>
    </row>
    <row r="4042" spans="6:23" ht="20.25" customHeight="1">
      <c r="F4042" s="356"/>
      <c r="H4042" s="407" t="s">
        <v>4318</v>
      </c>
      <c r="J4042" s="252"/>
      <c r="K4042" s="274">
        <f>K4041/F4039</f>
        <v>5314.25</v>
      </c>
      <c r="W4042" s="253"/>
    </row>
    <row r="4043" spans="6:23" ht="20.25" customHeight="1">
      <c r="F4043" s="356"/>
      <c r="J4043" s="252"/>
      <c r="W4043" s="253"/>
    </row>
    <row r="4044" spans="6:23" ht="20.25" customHeight="1">
      <c r="W4044" s="253"/>
    </row>
    <row r="4045" spans="6:23" ht="20.25" customHeight="1">
      <c r="H4045" s="296" t="s">
        <v>6152</v>
      </c>
      <c r="J4045" s="253"/>
      <c r="L4045" s="356"/>
      <c r="M4045" s="356"/>
      <c r="W4045" s="253"/>
    </row>
    <row r="4046" spans="6:23" ht="20.25" customHeight="1">
      <c r="H4046" s="515" t="s">
        <v>4356</v>
      </c>
      <c r="J4046" s="253"/>
      <c r="L4046" s="356"/>
      <c r="M4046" s="356"/>
      <c r="W4046" s="253"/>
    </row>
    <row r="4047" spans="6:23" ht="20.25" customHeight="1">
      <c r="H4047" s="358" t="s">
        <v>1586</v>
      </c>
      <c r="J4047" s="253"/>
      <c r="L4047" s="356"/>
      <c r="M4047" s="356"/>
      <c r="W4047" s="253"/>
    </row>
    <row r="4048" spans="6:23" ht="20.25" customHeight="1">
      <c r="H4048" s="276" t="s">
        <v>4357</v>
      </c>
      <c r="J4048" s="252"/>
      <c r="L4048" s="356"/>
      <c r="M4048" s="356"/>
      <c r="W4048" s="253"/>
    </row>
    <row r="4049" spans="6:23" ht="20.25" customHeight="1">
      <c r="H4049" s="443" t="s">
        <v>4358</v>
      </c>
      <c r="I4049" s="614"/>
      <c r="J4049" s="538">
        <f>3*2*1.9*0.075*0.0375</f>
        <v>3.2099999999999997E-2</v>
      </c>
      <c r="K4049" s="252" t="s">
        <v>2151</v>
      </c>
      <c r="L4049" s="356"/>
      <c r="M4049" s="356"/>
      <c r="W4049" s="253"/>
    </row>
    <row r="4050" spans="6:23" ht="20.25" customHeight="1">
      <c r="H4050" s="296" t="s">
        <v>4359</v>
      </c>
      <c r="I4050" s="614"/>
      <c r="J4050" s="538">
        <f>3*2*0.5*0.075*0.0375</f>
        <v>8.3999999999999995E-3</v>
      </c>
      <c r="K4050" s="252" t="s">
        <v>2151</v>
      </c>
      <c r="L4050" s="356"/>
      <c r="M4050" s="356"/>
      <c r="W4050" s="253"/>
    </row>
    <row r="4051" spans="6:23" ht="20.25" customHeight="1">
      <c r="H4051" s="296"/>
      <c r="I4051" s="407"/>
      <c r="J4051" s="358" t="s">
        <v>1586</v>
      </c>
      <c r="K4051" s="400"/>
      <c r="L4051" s="356"/>
      <c r="M4051" s="356"/>
      <c r="W4051" s="253"/>
    </row>
    <row r="4052" spans="6:23" ht="20.25" customHeight="1">
      <c r="J4052" s="643">
        <f>SUM(J4049:J4051)</f>
        <v>4.0500000000000001E-2</v>
      </c>
      <c r="K4052" s="252" t="s">
        <v>2151</v>
      </c>
      <c r="L4052" s="356"/>
      <c r="M4052" s="356"/>
      <c r="W4052" s="253"/>
    </row>
    <row r="4053" spans="6:23" ht="20.25" customHeight="1">
      <c r="J4053" s="358" t="s">
        <v>1586</v>
      </c>
      <c r="L4053" s="356"/>
      <c r="M4053" s="356"/>
      <c r="W4053" s="253"/>
    </row>
    <row r="4054" spans="6:23" ht="20.25" customHeight="1">
      <c r="H4054" s="296" t="s">
        <v>447</v>
      </c>
      <c r="I4054" s="614"/>
      <c r="J4054" s="614"/>
      <c r="K4054" s="614"/>
      <c r="L4054" s="356"/>
      <c r="M4054" s="356"/>
      <c r="W4054" s="253"/>
    </row>
    <row r="4055" spans="6:23" ht="20.25" customHeight="1">
      <c r="H4055" s="296" t="s">
        <v>4360</v>
      </c>
      <c r="I4055" s="578"/>
      <c r="J4055" s="462">
        <f>3*1.9*0.5</f>
        <v>2.85</v>
      </c>
      <c r="K4055" s="252" t="s">
        <v>609</v>
      </c>
      <c r="L4055" s="356"/>
      <c r="M4055" s="356"/>
      <c r="W4055" s="253"/>
    </row>
    <row r="4056" spans="6:23" ht="20.25" customHeight="1">
      <c r="H4056" s="296"/>
      <c r="I4056" s="578"/>
      <c r="J4056" s="462"/>
      <c r="K4056" s="400"/>
      <c r="L4056" s="356"/>
      <c r="M4056" s="356"/>
      <c r="W4056" s="253"/>
    </row>
    <row r="4057" spans="6:23" ht="20.25" customHeight="1">
      <c r="H4057" s="296" t="s">
        <v>4361</v>
      </c>
      <c r="I4057" s="578"/>
      <c r="J4057" s="462"/>
      <c r="K4057" s="400"/>
      <c r="L4057" s="356"/>
      <c r="M4057" s="356"/>
      <c r="W4057" s="253"/>
    </row>
    <row r="4058" spans="6:23" ht="20.25" customHeight="1">
      <c r="H4058" s="296" t="s">
        <v>4362</v>
      </c>
      <c r="I4058" s="578"/>
      <c r="J4058" s="538">
        <f>3*1.775*0.375</f>
        <v>1.9968999999999999</v>
      </c>
      <c r="K4058" s="400" t="str">
        <f>K4055</f>
        <v>SQM</v>
      </c>
      <c r="L4058" s="356"/>
      <c r="M4058" s="356"/>
      <c r="W4058" s="253"/>
    </row>
    <row r="4059" spans="6:23" ht="20.25" customHeight="1">
      <c r="H4059" s="296" t="s">
        <v>4363</v>
      </c>
      <c r="J4059" s="538"/>
      <c r="K4059" s="443"/>
      <c r="L4059" s="356"/>
      <c r="M4059" s="356"/>
      <c r="W4059" s="253"/>
    </row>
    <row r="4060" spans="6:23" ht="20.25" customHeight="1">
      <c r="F4060" s="316"/>
      <c r="H4060" s="296" t="s">
        <v>4364</v>
      </c>
      <c r="I4060" s="578"/>
      <c r="J4060" s="644">
        <f>1.775+0.375</f>
        <v>2.15</v>
      </c>
      <c r="K4060" s="400"/>
      <c r="M4060" s="356"/>
      <c r="W4060" s="253"/>
    </row>
    <row r="4061" spans="6:23" ht="20.25" customHeight="1">
      <c r="F4061" s="316"/>
      <c r="I4061" s="645"/>
      <c r="J4061" s="255">
        <f>J4060*6</f>
        <v>12.9</v>
      </c>
      <c r="K4061" s="252" t="s">
        <v>826</v>
      </c>
      <c r="M4061" s="356"/>
      <c r="W4061" s="253"/>
    </row>
    <row r="4062" spans="6:23" ht="20.25" customHeight="1">
      <c r="F4062" s="316"/>
      <c r="H4062" s="257" t="s">
        <v>4365</v>
      </c>
      <c r="I4062" s="645"/>
      <c r="J4062" s="253"/>
      <c r="M4062" s="356"/>
      <c r="W4062" s="253"/>
    </row>
    <row r="4063" spans="6:23" ht="20.25" customHeight="1">
      <c r="F4063" s="316"/>
      <c r="H4063" s="276" t="s">
        <v>4366</v>
      </c>
      <c r="I4063" s="614"/>
      <c r="J4063" s="252"/>
      <c r="K4063" s="253"/>
      <c r="M4063" s="356"/>
      <c r="W4063" s="253"/>
    </row>
    <row r="4064" spans="6:23" ht="20.25" customHeight="1">
      <c r="F4064" s="400">
        <f>J4052</f>
        <v>4.0500000000000001E-2</v>
      </c>
      <c r="G4064" s="296" t="s">
        <v>869</v>
      </c>
      <c r="H4064" s="296" t="s">
        <v>4367</v>
      </c>
      <c r="I4064" s="252">
        <f>V3114</f>
        <v>99400</v>
      </c>
      <c r="J4064" s="253" t="s">
        <v>869</v>
      </c>
      <c r="K4064" s="252">
        <f>(F4064*I4064)</f>
        <v>4025.7</v>
      </c>
      <c r="M4064" s="356"/>
      <c r="W4064" s="253"/>
    </row>
    <row r="4065" spans="6:23" ht="20.25" customHeight="1">
      <c r="F4065" s="400">
        <f>J4055</f>
        <v>2.85</v>
      </c>
      <c r="G4065" s="252" t="s">
        <v>609</v>
      </c>
      <c r="H4065" s="296" t="s">
        <v>447</v>
      </c>
      <c r="I4065" s="252">
        <f>V3116</f>
        <v>1436</v>
      </c>
      <c r="J4065" s="252" t="s">
        <v>609</v>
      </c>
      <c r="K4065" s="252">
        <f>(F4065*I4065)</f>
        <v>4092.6</v>
      </c>
      <c r="M4065" s="356"/>
      <c r="W4065" s="253"/>
    </row>
    <row r="4066" spans="6:23" ht="20.25" customHeight="1">
      <c r="F4066" s="400">
        <f>J4058</f>
        <v>1.9968999999999999</v>
      </c>
      <c r="G4066" s="252" t="s">
        <v>609</v>
      </c>
      <c r="H4066" s="296" t="s">
        <v>4361</v>
      </c>
      <c r="I4066" s="252">
        <f>V3115</f>
        <v>306.89999999999998</v>
      </c>
      <c r="J4066" s="252" t="s">
        <v>609</v>
      </c>
      <c r="K4066" s="252">
        <f t="shared" ref="K4066:K4072" si="383">(F4066*I4066)</f>
        <v>612.85</v>
      </c>
      <c r="M4066" s="356"/>
      <c r="W4066" s="253"/>
    </row>
    <row r="4067" spans="6:23" ht="20.25" customHeight="1">
      <c r="F4067" s="252">
        <f>J4061</f>
        <v>12.9</v>
      </c>
      <c r="G4067" s="252" t="s">
        <v>826</v>
      </c>
      <c r="H4067" s="276" t="s">
        <v>4368</v>
      </c>
      <c r="I4067" s="252">
        <f t="shared" ref="I4067:I4072" si="384">V3117</f>
        <v>15.45</v>
      </c>
      <c r="J4067" s="252" t="s">
        <v>826</v>
      </c>
      <c r="K4067" s="252">
        <f t="shared" si="383"/>
        <v>199.31</v>
      </c>
      <c r="M4067" s="356"/>
      <c r="W4067" s="253"/>
    </row>
    <row r="4068" spans="6:23" ht="20.25" customHeight="1">
      <c r="F4068" s="252">
        <v>9</v>
      </c>
      <c r="G4068" s="252" t="s">
        <v>868</v>
      </c>
      <c r="H4068" s="296" t="s">
        <v>1517</v>
      </c>
      <c r="I4068" s="252">
        <f t="shared" si="384"/>
        <v>89.6</v>
      </c>
      <c r="J4068" s="296" t="s">
        <v>868</v>
      </c>
      <c r="K4068" s="252">
        <f t="shared" si="383"/>
        <v>806.4</v>
      </c>
      <c r="M4068" s="356"/>
      <c r="W4068" s="253"/>
    </row>
    <row r="4069" spans="6:23" ht="20.25" customHeight="1">
      <c r="F4069" s="252">
        <v>6</v>
      </c>
      <c r="G4069" s="252" t="s">
        <v>868</v>
      </c>
      <c r="H4069" s="296" t="s">
        <v>3547</v>
      </c>
      <c r="I4069" s="252">
        <f t="shared" si="384"/>
        <v>82.25</v>
      </c>
      <c r="J4069" s="296" t="s">
        <v>868</v>
      </c>
      <c r="K4069" s="252">
        <f t="shared" si="383"/>
        <v>493.5</v>
      </c>
      <c r="M4069" s="356"/>
      <c r="W4069" s="253"/>
    </row>
    <row r="4070" spans="6:23" ht="20.25" customHeight="1">
      <c r="F4070" s="252">
        <v>3</v>
      </c>
      <c r="G4070" s="252" t="s">
        <v>868</v>
      </c>
      <c r="H4070" s="296" t="s">
        <v>3548</v>
      </c>
      <c r="I4070" s="252">
        <f t="shared" si="384"/>
        <v>57.65</v>
      </c>
      <c r="J4070" s="296" t="s">
        <v>868</v>
      </c>
      <c r="K4070" s="252">
        <f t="shared" si="383"/>
        <v>172.95</v>
      </c>
      <c r="M4070" s="356"/>
      <c r="W4070" s="253"/>
    </row>
    <row r="4071" spans="6:23" ht="20.25" customHeight="1">
      <c r="F4071" s="252">
        <v>3</v>
      </c>
      <c r="G4071" s="252" t="s">
        <v>868</v>
      </c>
      <c r="H4071" s="296" t="s">
        <v>1980</v>
      </c>
      <c r="I4071" s="252">
        <f t="shared" si="384"/>
        <v>7.3</v>
      </c>
      <c r="J4071" s="296" t="s">
        <v>868</v>
      </c>
      <c r="K4071" s="252">
        <f t="shared" si="383"/>
        <v>21.9</v>
      </c>
      <c r="M4071" s="356"/>
      <c r="W4071" s="253"/>
    </row>
    <row r="4072" spans="6:23" ht="20.25" customHeight="1">
      <c r="F4072" s="252">
        <v>120</v>
      </c>
      <c r="G4072" s="252" t="s">
        <v>868</v>
      </c>
      <c r="H4072" s="296" t="s">
        <v>4369</v>
      </c>
      <c r="I4072" s="252">
        <f t="shared" si="384"/>
        <v>2.41</v>
      </c>
      <c r="J4072" s="296" t="s">
        <v>868</v>
      </c>
      <c r="K4072" s="252">
        <f t="shared" si="383"/>
        <v>289.2</v>
      </c>
      <c r="M4072" s="356"/>
      <c r="W4072" s="253"/>
    </row>
    <row r="4073" spans="6:23" ht="20.25" customHeight="1">
      <c r="H4073" s="296"/>
      <c r="I4073" s="614"/>
      <c r="J4073" s="252"/>
      <c r="K4073" s="358" t="s">
        <v>1586</v>
      </c>
      <c r="M4073" s="356"/>
      <c r="W4073" s="253"/>
    </row>
    <row r="4074" spans="6:23" ht="20.25" customHeight="1">
      <c r="H4074" s="296" t="s">
        <v>4370</v>
      </c>
      <c r="I4074" s="614"/>
      <c r="J4074" s="253"/>
      <c r="K4074" s="407">
        <f>SUM(K4064:K4073)</f>
        <v>10714.41</v>
      </c>
      <c r="L4074" s="429"/>
      <c r="M4074" s="356"/>
      <c r="W4074" s="253"/>
    </row>
    <row r="4075" spans="6:23" ht="20.25" customHeight="1">
      <c r="H4075" s="614"/>
      <c r="J4075" s="253"/>
      <c r="K4075" s="358" t="s">
        <v>1586</v>
      </c>
      <c r="L4075" s="614"/>
      <c r="M4075" s="356"/>
      <c r="W4075" s="253"/>
    </row>
    <row r="4076" spans="6:23" ht="20.25" customHeight="1">
      <c r="H4076" s="407" t="s">
        <v>4049</v>
      </c>
      <c r="J4076" s="253"/>
      <c r="K4076" s="620">
        <f>K4074/F4065</f>
        <v>3759.44</v>
      </c>
      <c r="L4076" s="252">
        <f>SUM(L4060:L4075)</f>
        <v>0</v>
      </c>
      <c r="M4076" s="356"/>
      <c r="W4076" s="253"/>
    </row>
    <row r="4077" spans="6:23" ht="20.25" customHeight="1">
      <c r="J4077" s="253"/>
      <c r="K4077" s="614"/>
      <c r="L4077" s="614"/>
      <c r="M4077" s="356"/>
      <c r="W4077" s="253"/>
    </row>
    <row r="4078" spans="6:23" ht="20.25" customHeight="1">
      <c r="H4078" s="276"/>
      <c r="J4078" s="1174"/>
      <c r="K4078" s="1174"/>
      <c r="L4078" s="1174"/>
      <c r="M4078" s="1174"/>
      <c r="W4078" s="253"/>
    </row>
    <row r="4079" spans="6:23" ht="20.25" customHeight="1">
      <c r="J4079" s="252"/>
      <c r="L4079" s="356"/>
      <c r="M4079" s="356"/>
      <c r="W4079" s="253"/>
    </row>
    <row r="4080" spans="6:23" ht="20.25" customHeight="1">
      <c r="W4080" s="253"/>
    </row>
    <row r="4081" spans="23:23" ht="20.25" customHeight="1">
      <c r="W4081" s="253"/>
    </row>
    <row r="4082" spans="23:23" ht="20.25" customHeight="1">
      <c r="W4082" s="253"/>
    </row>
    <row r="4083" spans="23:23" ht="20.25" customHeight="1">
      <c r="W4083" s="253"/>
    </row>
    <row r="4084" spans="23:23" ht="20.25" customHeight="1">
      <c r="W4084" s="253"/>
    </row>
    <row r="4085" spans="23:23" ht="20.25" customHeight="1">
      <c r="W4085" s="253"/>
    </row>
    <row r="4086" spans="23:23" ht="20.25" customHeight="1">
      <c r="W4086" s="253"/>
    </row>
    <row r="4087" spans="23:23" ht="20.25" customHeight="1">
      <c r="W4087" s="253"/>
    </row>
    <row r="4088" spans="23:23" ht="20.25" customHeight="1">
      <c r="W4088" s="253"/>
    </row>
    <row r="4089" spans="23:23" ht="20.25" customHeight="1">
      <c r="W4089" s="253"/>
    </row>
    <row r="4090" spans="23:23" ht="20.25" customHeight="1">
      <c r="W4090" s="253"/>
    </row>
    <row r="4091" spans="23:23" ht="20.25" customHeight="1">
      <c r="W4091" s="253"/>
    </row>
    <row r="4092" spans="23:23" ht="20.25" customHeight="1">
      <c r="W4092" s="253"/>
    </row>
    <row r="4093" spans="23:23" ht="20.25" customHeight="1">
      <c r="W4093" s="253"/>
    </row>
    <row r="4094" spans="23:23" ht="20.25" customHeight="1">
      <c r="W4094" s="253"/>
    </row>
    <row r="4095" spans="23:23" ht="20.25" customHeight="1">
      <c r="W4095" s="253"/>
    </row>
    <row r="4096" spans="23:23" ht="20.25" customHeight="1">
      <c r="W4096" s="253"/>
    </row>
    <row r="4097" spans="23:23" ht="20.25" customHeight="1">
      <c r="W4097" s="253"/>
    </row>
    <row r="4098" spans="23:23" ht="20.25" customHeight="1">
      <c r="W4098" s="253"/>
    </row>
    <row r="4099" spans="23:23" ht="20.25" customHeight="1">
      <c r="W4099" s="253"/>
    </row>
    <row r="4100" spans="23:23" ht="20.25" customHeight="1">
      <c r="W4100" s="253"/>
    </row>
    <row r="4101" spans="23:23" ht="20.25" customHeight="1">
      <c r="W4101" s="253"/>
    </row>
    <row r="4102" spans="23:23" ht="20.25" customHeight="1">
      <c r="W4102" s="253"/>
    </row>
    <row r="4103" spans="23:23" ht="20.25" customHeight="1">
      <c r="W4103" s="253"/>
    </row>
    <row r="4104" spans="23:23" ht="20.25" customHeight="1">
      <c r="W4104" s="253"/>
    </row>
    <row r="4105" spans="23:23" ht="20.25" customHeight="1">
      <c r="W4105" s="253"/>
    </row>
    <row r="4106" spans="23:23" ht="20.25" customHeight="1">
      <c r="W4106" s="253"/>
    </row>
    <row r="4107" spans="23:23" ht="20.25" customHeight="1">
      <c r="W4107" s="253"/>
    </row>
    <row r="4108" spans="23:23" ht="20.25" customHeight="1">
      <c r="W4108" s="253"/>
    </row>
    <row r="4109" spans="23:23" ht="20.25" customHeight="1">
      <c r="W4109" s="253"/>
    </row>
    <row r="4110" spans="23:23" ht="20.25" customHeight="1">
      <c r="W4110" s="253"/>
    </row>
    <row r="4111" spans="23:23" ht="20.25" customHeight="1">
      <c r="W4111" s="253"/>
    </row>
    <row r="4112" spans="23:23" ht="20.25" customHeight="1">
      <c r="W4112" s="253"/>
    </row>
    <row r="4113" spans="23:23" ht="20.25" customHeight="1">
      <c r="W4113" s="253"/>
    </row>
    <row r="4114" spans="23:23" ht="20.25" customHeight="1">
      <c r="W4114" s="253"/>
    </row>
    <row r="4115" spans="23:23" ht="20.25" customHeight="1">
      <c r="W4115" s="253"/>
    </row>
    <row r="4116" spans="23:23" ht="20.25" customHeight="1">
      <c r="W4116" s="253"/>
    </row>
    <row r="4117" spans="23:23" ht="20.25" customHeight="1">
      <c r="W4117" s="253"/>
    </row>
    <row r="4118" spans="23:23" ht="20.25" customHeight="1">
      <c r="W4118" s="253"/>
    </row>
    <row r="4119" spans="23:23" ht="20.25" customHeight="1">
      <c r="W4119" s="253"/>
    </row>
    <row r="4120" spans="23:23" ht="20.25" customHeight="1">
      <c r="W4120" s="253"/>
    </row>
    <row r="4121" spans="23:23" ht="20.25" customHeight="1">
      <c r="W4121" s="253"/>
    </row>
    <row r="4122" spans="23:23" ht="20.25" customHeight="1">
      <c r="W4122" s="253"/>
    </row>
    <row r="4123" spans="23:23" ht="20.25" customHeight="1">
      <c r="W4123" s="253"/>
    </row>
    <row r="4124" spans="23:23" ht="20.25" customHeight="1">
      <c r="W4124" s="253"/>
    </row>
    <row r="4125" spans="23:23" ht="20.25" customHeight="1">
      <c r="W4125" s="253"/>
    </row>
    <row r="4126" spans="23:23" ht="20.25" customHeight="1">
      <c r="W4126" s="253"/>
    </row>
    <row r="4127" spans="23:23" ht="20.25" customHeight="1">
      <c r="W4127" s="253"/>
    </row>
    <row r="4128" spans="23:23" ht="20.25" customHeight="1">
      <c r="W4128" s="253"/>
    </row>
    <row r="4129" spans="23:23" ht="20.25" customHeight="1">
      <c r="W4129" s="253"/>
    </row>
    <row r="4130" spans="23:23" ht="20.25" customHeight="1">
      <c r="W4130" s="253"/>
    </row>
    <row r="4131" spans="23:23" ht="20.25" customHeight="1">
      <c r="W4131" s="253"/>
    </row>
    <row r="4132" spans="23:23" ht="20.25" customHeight="1">
      <c r="W4132" s="253"/>
    </row>
    <row r="4133" spans="23:23" ht="20.25" customHeight="1">
      <c r="W4133" s="253"/>
    </row>
    <row r="4134" spans="23:23" ht="20.25" customHeight="1">
      <c r="W4134" s="253"/>
    </row>
    <row r="4135" spans="23:23" ht="20.25" customHeight="1">
      <c r="W4135" s="253"/>
    </row>
    <row r="4136" spans="23:23" ht="20.25" customHeight="1">
      <c r="W4136" s="253"/>
    </row>
    <row r="4137" spans="23:23" ht="20.25" customHeight="1">
      <c r="W4137" s="253"/>
    </row>
    <row r="4138" spans="23:23" ht="20.25" customHeight="1">
      <c r="W4138" s="253"/>
    </row>
    <row r="4139" spans="23:23" ht="20.25" customHeight="1">
      <c r="W4139" s="253"/>
    </row>
    <row r="4140" spans="23:23" ht="20.25" customHeight="1">
      <c r="W4140" s="253"/>
    </row>
    <row r="4141" spans="23:23" ht="20.25" customHeight="1">
      <c r="W4141" s="253"/>
    </row>
    <row r="4142" spans="23:23" ht="20.25" customHeight="1">
      <c r="W4142" s="253"/>
    </row>
    <row r="4143" spans="23:23" ht="20.25" customHeight="1">
      <c r="W4143" s="253"/>
    </row>
    <row r="4144" spans="23:23" ht="20.25" customHeight="1">
      <c r="W4144" s="253"/>
    </row>
    <row r="4145" spans="23:23" ht="20.25" customHeight="1">
      <c r="W4145" s="253"/>
    </row>
    <row r="4146" spans="23:23" ht="20.25" customHeight="1">
      <c r="W4146" s="253"/>
    </row>
    <row r="4147" spans="23:23" ht="20.25" customHeight="1">
      <c r="W4147" s="253"/>
    </row>
    <row r="4148" spans="23:23" ht="20.25" customHeight="1">
      <c r="W4148" s="253"/>
    </row>
    <row r="4149" spans="23:23" ht="20.25" customHeight="1">
      <c r="W4149" s="253"/>
    </row>
    <row r="4150" spans="23:23" ht="20.25" customHeight="1">
      <c r="W4150" s="253"/>
    </row>
    <row r="4151" spans="23:23" ht="20.25" customHeight="1">
      <c r="W4151" s="253"/>
    </row>
    <row r="4152" spans="23:23" ht="20.25" customHeight="1">
      <c r="W4152" s="253"/>
    </row>
    <row r="4153" spans="23:23" ht="20.25" customHeight="1">
      <c r="W4153" s="253"/>
    </row>
    <row r="4154" spans="23:23" ht="20.25" customHeight="1">
      <c r="W4154" s="253"/>
    </row>
    <row r="4155" spans="23:23" ht="20.25" customHeight="1">
      <c r="W4155" s="253"/>
    </row>
    <row r="4156" spans="23:23" ht="20.25" customHeight="1">
      <c r="W4156" s="253"/>
    </row>
    <row r="4157" spans="23:23" ht="20.25" customHeight="1">
      <c r="W4157" s="253"/>
    </row>
    <row r="4158" spans="23:23" ht="20.25" customHeight="1">
      <c r="W4158" s="253"/>
    </row>
    <row r="4159" spans="23:23" ht="20.25" customHeight="1">
      <c r="W4159" s="253"/>
    </row>
    <row r="4160" spans="23:23" ht="20.25" customHeight="1">
      <c r="W4160" s="253"/>
    </row>
    <row r="4161" spans="23:23" ht="20.25" customHeight="1">
      <c r="W4161" s="253"/>
    </row>
    <row r="4162" spans="23:23" ht="20.25" customHeight="1">
      <c r="W4162" s="253"/>
    </row>
    <row r="4163" spans="23:23" ht="20.25" customHeight="1">
      <c r="W4163" s="253"/>
    </row>
    <row r="4164" spans="23:23" ht="20.25" customHeight="1">
      <c r="W4164" s="253"/>
    </row>
    <row r="4165" spans="23:23" ht="20.25" customHeight="1">
      <c r="W4165" s="253"/>
    </row>
    <row r="4166" spans="23:23" ht="20.25" customHeight="1">
      <c r="W4166" s="253"/>
    </row>
    <row r="4167" spans="23:23" ht="20.25" customHeight="1">
      <c r="W4167" s="253"/>
    </row>
    <row r="4168" spans="23:23" ht="20.25" customHeight="1">
      <c r="W4168" s="253"/>
    </row>
    <row r="4169" spans="23:23" ht="20.25" customHeight="1">
      <c r="W4169" s="253"/>
    </row>
    <row r="4170" spans="23:23" ht="20.25" customHeight="1">
      <c r="W4170" s="253"/>
    </row>
    <row r="4171" spans="23:23" ht="20.25" customHeight="1">
      <c r="W4171" s="253"/>
    </row>
    <row r="4172" spans="23:23" ht="20.25" customHeight="1">
      <c r="W4172" s="253"/>
    </row>
    <row r="4173" spans="23:23" ht="20.25" customHeight="1">
      <c r="W4173" s="253"/>
    </row>
    <row r="4174" spans="23:23" ht="20.25" customHeight="1">
      <c r="W4174" s="253"/>
    </row>
    <row r="4175" spans="23:23" ht="20.25" customHeight="1">
      <c r="W4175" s="253"/>
    </row>
    <row r="4176" spans="23:23" ht="20.25" customHeight="1">
      <c r="W4176" s="253"/>
    </row>
    <row r="4177" spans="23:23" ht="20.25" customHeight="1">
      <c r="W4177" s="253"/>
    </row>
    <row r="4178" spans="23:23" ht="20.25" customHeight="1">
      <c r="W4178" s="253"/>
    </row>
    <row r="4179" spans="23:23" ht="20.25" customHeight="1">
      <c r="W4179" s="253"/>
    </row>
    <row r="4180" spans="23:23" ht="20.25" customHeight="1">
      <c r="W4180" s="253"/>
    </row>
    <row r="4181" spans="23:23" ht="20.25" customHeight="1">
      <c r="W4181" s="253"/>
    </row>
    <row r="4182" spans="23:23" ht="20.25" customHeight="1">
      <c r="W4182" s="253"/>
    </row>
    <row r="4183" spans="23:23" ht="20.25" customHeight="1">
      <c r="W4183" s="253"/>
    </row>
    <row r="4184" spans="23:23" ht="20.25" customHeight="1">
      <c r="W4184" s="253"/>
    </row>
    <row r="4185" spans="23:23" ht="20.25" customHeight="1">
      <c r="W4185" s="253"/>
    </row>
    <row r="4186" spans="23:23" ht="20.25" customHeight="1">
      <c r="W4186" s="253"/>
    </row>
    <row r="4187" spans="23:23" ht="20.25" customHeight="1">
      <c r="W4187" s="253"/>
    </row>
    <row r="4188" spans="23:23" ht="20.25" customHeight="1">
      <c r="W4188" s="253"/>
    </row>
    <row r="4189" spans="23:23" ht="20.25" customHeight="1">
      <c r="W4189" s="253"/>
    </row>
    <row r="4190" spans="23:23" ht="20.25" customHeight="1">
      <c r="W4190" s="253"/>
    </row>
    <row r="4191" spans="23:23" ht="20.25" customHeight="1">
      <c r="W4191" s="253"/>
    </row>
    <row r="4192" spans="23:23" ht="20.25" customHeight="1">
      <c r="W4192" s="253"/>
    </row>
    <row r="4193" spans="23:23" ht="20.25" customHeight="1">
      <c r="W4193" s="253"/>
    </row>
    <row r="4194" spans="23:23" ht="20.25" customHeight="1">
      <c r="W4194" s="253"/>
    </row>
    <row r="4195" spans="23:23" ht="20.25" customHeight="1">
      <c r="W4195" s="253"/>
    </row>
    <row r="4196" spans="23:23" ht="20.25" customHeight="1">
      <c r="W4196" s="253"/>
    </row>
    <row r="4197" spans="23:23" ht="20.25" customHeight="1">
      <c r="W4197" s="253"/>
    </row>
    <row r="4198" spans="23:23" ht="20.25" customHeight="1">
      <c r="W4198" s="253"/>
    </row>
    <row r="4199" spans="23:23" ht="20.25" customHeight="1">
      <c r="W4199" s="253"/>
    </row>
    <row r="4200" spans="23:23" ht="20.25" customHeight="1">
      <c r="W4200" s="253"/>
    </row>
    <row r="4201" spans="23:23" ht="20.25" customHeight="1">
      <c r="W4201" s="253"/>
    </row>
    <row r="4202" spans="23:23" ht="20.25" customHeight="1">
      <c r="W4202" s="253"/>
    </row>
    <row r="4203" spans="23:23" ht="20.25" customHeight="1">
      <c r="W4203" s="253"/>
    </row>
    <row r="4204" spans="23:23" ht="20.25" customHeight="1">
      <c r="W4204" s="253"/>
    </row>
    <row r="4205" spans="23:23" ht="20.25" customHeight="1">
      <c r="W4205" s="253"/>
    </row>
    <row r="4206" spans="23:23" ht="20.25" customHeight="1">
      <c r="W4206" s="253"/>
    </row>
    <row r="4207" spans="23:23" ht="20.25" customHeight="1">
      <c r="W4207" s="253"/>
    </row>
    <row r="4208" spans="23:23" ht="20.25" customHeight="1">
      <c r="W4208" s="253"/>
    </row>
    <row r="4209" spans="23:23" ht="20.25" customHeight="1">
      <c r="W4209" s="253"/>
    </row>
    <row r="4210" spans="23:23" ht="20.25" customHeight="1">
      <c r="W4210" s="253"/>
    </row>
    <row r="4211" spans="23:23" ht="20.25" customHeight="1">
      <c r="W4211" s="253"/>
    </row>
    <row r="4212" spans="23:23" ht="20.25" customHeight="1">
      <c r="W4212" s="253"/>
    </row>
    <row r="4213" spans="23:23" ht="20.25" customHeight="1">
      <c r="W4213" s="253"/>
    </row>
    <row r="4214" spans="23:23" ht="20.25" customHeight="1">
      <c r="W4214" s="253"/>
    </row>
    <row r="4215" spans="23:23" ht="20.25" customHeight="1">
      <c r="W4215" s="253"/>
    </row>
    <row r="4216" spans="23:23" ht="20.25" customHeight="1">
      <c r="W4216" s="253"/>
    </row>
    <row r="4217" spans="23:23" ht="20.25" customHeight="1">
      <c r="W4217" s="253"/>
    </row>
    <row r="4218" spans="23:23" ht="20.25" customHeight="1">
      <c r="W4218" s="253"/>
    </row>
    <row r="4219" spans="23:23" ht="20.25" customHeight="1">
      <c r="W4219" s="253"/>
    </row>
    <row r="4220" spans="23:23" ht="20.25" customHeight="1">
      <c r="W4220" s="253"/>
    </row>
    <row r="4221" spans="23:23" ht="20.25" customHeight="1">
      <c r="W4221" s="253"/>
    </row>
    <row r="4222" spans="23:23" ht="20.25" customHeight="1">
      <c r="W4222" s="253"/>
    </row>
    <row r="4223" spans="23:23" ht="20.25" customHeight="1">
      <c r="W4223" s="253"/>
    </row>
    <row r="4224" spans="23:23" ht="20.25" customHeight="1">
      <c r="W4224" s="253"/>
    </row>
    <row r="4225" spans="23:23" ht="20.25" customHeight="1">
      <c r="W4225" s="253"/>
    </row>
    <row r="4226" spans="23:23" ht="20.25" customHeight="1">
      <c r="W4226" s="253"/>
    </row>
    <row r="4227" spans="23:23" ht="20.25" customHeight="1">
      <c r="W4227" s="253"/>
    </row>
    <row r="4228" spans="23:23" ht="20.25" customHeight="1">
      <c r="W4228" s="253"/>
    </row>
    <row r="4229" spans="23:23" ht="20.25" customHeight="1">
      <c r="W4229" s="253"/>
    </row>
    <row r="4230" spans="23:23" ht="20.25" customHeight="1">
      <c r="W4230" s="253"/>
    </row>
    <row r="4231" spans="23:23" ht="20.25" customHeight="1">
      <c r="W4231" s="253"/>
    </row>
    <row r="4232" spans="23:23" ht="20.25" customHeight="1">
      <c r="W4232" s="253"/>
    </row>
    <row r="4233" spans="23:23" ht="20.25" customHeight="1">
      <c r="W4233" s="253"/>
    </row>
    <row r="4234" spans="23:23" ht="20.25" customHeight="1">
      <c r="W4234" s="253"/>
    </row>
    <row r="4235" spans="23:23" ht="20.25" customHeight="1">
      <c r="W4235" s="253"/>
    </row>
    <row r="4236" spans="23:23" ht="20.25" customHeight="1">
      <c r="W4236" s="253"/>
    </row>
    <row r="4237" spans="23:23" ht="20.25" customHeight="1">
      <c r="W4237" s="253"/>
    </row>
    <row r="4238" spans="23:23" ht="20.25" customHeight="1">
      <c r="W4238" s="253"/>
    </row>
    <row r="4239" spans="23:23" ht="20.25" customHeight="1">
      <c r="W4239" s="253"/>
    </row>
    <row r="4240" spans="23:23" ht="20.25" customHeight="1">
      <c r="W4240" s="253"/>
    </row>
    <row r="4241" spans="23:23" ht="20.25" customHeight="1">
      <c r="W4241" s="253"/>
    </row>
    <row r="4242" spans="23:23" ht="20.25" customHeight="1">
      <c r="W4242" s="253"/>
    </row>
    <row r="4243" spans="23:23" ht="20.25" customHeight="1">
      <c r="W4243" s="253"/>
    </row>
    <row r="4244" spans="23:23" ht="20.25" customHeight="1">
      <c r="W4244" s="253"/>
    </row>
    <row r="4245" spans="23:23" ht="20.25" customHeight="1">
      <c r="W4245" s="253"/>
    </row>
    <row r="4246" spans="23:23" ht="20.25" customHeight="1">
      <c r="W4246" s="253"/>
    </row>
    <row r="4247" spans="23:23" ht="20.25" customHeight="1">
      <c r="W4247" s="253"/>
    </row>
    <row r="4248" spans="23:23" ht="20.25" customHeight="1">
      <c r="W4248" s="253"/>
    </row>
    <row r="4249" spans="23:23" ht="20.25" customHeight="1">
      <c r="W4249" s="253"/>
    </row>
    <row r="4250" spans="23:23" ht="20.25" customHeight="1">
      <c r="W4250" s="253"/>
    </row>
    <row r="4251" spans="23:23" ht="20.25" customHeight="1">
      <c r="W4251" s="253"/>
    </row>
    <row r="4252" spans="23:23" ht="20.25" customHeight="1">
      <c r="W4252" s="253"/>
    </row>
    <row r="4253" spans="23:23" ht="20.25" customHeight="1">
      <c r="W4253" s="253"/>
    </row>
    <row r="4254" spans="23:23" ht="20.25" customHeight="1">
      <c r="W4254" s="253"/>
    </row>
    <row r="4255" spans="23:23" ht="20.25" customHeight="1">
      <c r="W4255" s="253"/>
    </row>
    <row r="4256" spans="23:23" ht="20.25" customHeight="1">
      <c r="W4256" s="253"/>
    </row>
    <row r="4257" spans="23:23" ht="20.25" customHeight="1">
      <c r="W4257" s="253"/>
    </row>
    <row r="4258" spans="23:23" ht="20.25" customHeight="1">
      <c r="W4258" s="253"/>
    </row>
    <row r="4259" spans="23:23" ht="20.25" customHeight="1">
      <c r="W4259" s="253"/>
    </row>
    <row r="4260" spans="23:23" ht="20.25" customHeight="1">
      <c r="W4260" s="253"/>
    </row>
    <row r="4261" spans="23:23" ht="20.25" customHeight="1">
      <c r="W4261" s="253"/>
    </row>
    <row r="4262" spans="23:23" ht="20.25" customHeight="1">
      <c r="W4262" s="253"/>
    </row>
    <row r="4263" spans="23:23" ht="20.25" customHeight="1">
      <c r="W4263" s="253"/>
    </row>
    <row r="4264" spans="23:23" ht="20.25" customHeight="1">
      <c r="W4264" s="253"/>
    </row>
    <row r="4265" spans="23:23" ht="20.25" customHeight="1">
      <c r="W4265" s="253"/>
    </row>
    <row r="4266" spans="23:23" ht="20.25" customHeight="1">
      <c r="W4266" s="253"/>
    </row>
    <row r="4267" spans="23:23" ht="20.25" customHeight="1">
      <c r="W4267" s="253"/>
    </row>
    <row r="4268" spans="23:23" ht="20.25" customHeight="1">
      <c r="W4268" s="253"/>
    </row>
    <row r="4269" spans="23:23" ht="20.25" customHeight="1">
      <c r="W4269" s="253"/>
    </row>
    <row r="4270" spans="23:23" ht="20.25" customHeight="1">
      <c r="W4270" s="253"/>
    </row>
    <row r="4271" spans="23:23" ht="20.25" customHeight="1">
      <c r="W4271" s="253"/>
    </row>
    <row r="4272" spans="23:23" ht="20.25" customHeight="1">
      <c r="W4272" s="253"/>
    </row>
    <row r="4273" spans="23:23" ht="20.25" customHeight="1">
      <c r="W4273" s="253"/>
    </row>
    <row r="4274" spans="23:23" ht="20.25" customHeight="1">
      <c r="W4274" s="253"/>
    </row>
    <row r="4275" spans="23:23" ht="20.25" customHeight="1">
      <c r="W4275" s="253"/>
    </row>
    <row r="4276" spans="23:23" ht="20.25" customHeight="1">
      <c r="W4276" s="253"/>
    </row>
    <row r="4277" spans="23:23" ht="20.25" customHeight="1">
      <c r="W4277" s="253"/>
    </row>
    <row r="4278" spans="23:23" ht="20.25" customHeight="1">
      <c r="W4278" s="253"/>
    </row>
    <row r="4279" spans="23:23" ht="20.25" customHeight="1">
      <c r="W4279" s="253"/>
    </row>
    <row r="4280" spans="23:23" ht="20.25" customHeight="1">
      <c r="W4280" s="253"/>
    </row>
    <row r="4281" spans="23:23" ht="20.25" customHeight="1">
      <c r="W4281" s="253"/>
    </row>
    <row r="4282" spans="23:23" ht="20.25" customHeight="1">
      <c r="W4282" s="253"/>
    </row>
    <row r="4283" spans="23:23" ht="20.25" customHeight="1">
      <c r="W4283" s="253"/>
    </row>
    <row r="4284" spans="23:23" ht="20.25" customHeight="1">
      <c r="W4284" s="253"/>
    </row>
    <row r="4285" spans="23:23" ht="20.25" customHeight="1">
      <c r="W4285" s="253"/>
    </row>
    <row r="4286" spans="23:23" ht="20.25" customHeight="1">
      <c r="W4286" s="253"/>
    </row>
    <row r="4287" spans="23:23" ht="20.25" customHeight="1">
      <c r="W4287" s="253"/>
    </row>
    <row r="4288" spans="23:23" ht="20.25" customHeight="1">
      <c r="W4288" s="253"/>
    </row>
    <row r="4289" spans="23:23" ht="20.25" customHeight="1">
      <c r="W4289" s="253"/>
    </row>
    <row r="4290" spans="23:23" ht="20.25" customHeight="1">
      <c r="W4290" s="253"/>
    </row>
    <row r="4291" spans="23:23" ht="20.25" customHeight="1">
      <c r="W4291" s="253"/>
    </row>
    <row r="4292" spans="23:23" ht="20.25" customHeight="1">
      <c r="W4292" s="253"/>
    </row>
    <row r="4293" spans="23:23" ht="20.25" customHeight="1">
      <c r="W4293" s="253"/>
    </row>
    <row r="4294" spans="23:23" ht="20.25" customHeight="1">
      <c r="W4294" s="253"/>
    </row>
    <row r="4295" spans="23:23" ht="20.25" customHeight="1">
      <c r="W4295" s="253"/>
    </row>
    <row r="4296" spans="23:23" ht="20.25" customHeight="1">
      <c r="W4296" s="253"/>
    </row>
    <row r="4297" spans="23:23" ht="20.25" customHeight="1">
      <c r="W4297" s="253"/>
    </row>
    <row r="4298" spans="23:23" ht="20.25" customHeight="1">
      <c r="W4298" s="253"/>
    </row>
    <row r="4299" spans="23:23" ht="20.25" customHeight="1">
      <c r="W4299" s="253"/>
    </row>
    <row r="4300" spans="23:23" ht="20.25" customHeight="1">
      <c r="W4300" s="253"/>
    </row>
    <row r="4301" spans="23:23" ht="20.25" customHeight="1">
      <c r="W4301" s="253"/>
    </row>
    <row r="4302" spans="23:23" ht="20.25" customHeight="1">
      <c r="W4302" s="253"/>
    </row>
    <row r="4303" spans="23:23" ht="20.25" customHeight="1">
      <c r="W4303" s="253"/>
    </row>
    <row r="4304" spans="23:23" ht="20.25" customHeight="1">
      <c r="W4304" s="253"/>
    </row>
    <row r="4305" spans="23:23" ht="20.25" customHeight="1">
      <c r="W4305" s="253"/>
    </row>
    <row r="4306" spans="23:23" ht="20.25" customHeight="1">
      <c r="W4306" s="253"/>
    </row>
    <row r="4307" spans="23:23" ht="20.25" customHeight="1">
      <c r="W4307" s="253"/>
    </row>
    <row r="4308" spans="23:23" ht="20.25" customHeight="1">
      <c r="W4308" s="253"/>
    </row>
    <row r="4309" spans="23:23" ht="20.25" customHeight="1">
      <c r="W4309" s="253"/>
    </row>
    <row r="4310" spans="23:23" ht="20.25" customHeight="1">
      <c r="W4310" s="253"/>
    </row>
    <row r="4311" spans="23:23" ht="20.25" customHeight="1">
      <c r="W4311" s="253"/>
    </row>
    <row r="4312" spans="23:23" ht="20.25" customHeight="1">
      <c r="W4312" s="253"/>
    </row>
    <row r="4313" spans="23:23" ht="20.25" customHeight="1">
      <c r="W4313" s="253"/>
    </row>
    <row r="4314" spans="23:23" ht="20.25" customHeight="1">
      <c r="W4314" s="253"/>
    </row>
    <row r="4315" spans="23:23" ht="20.25" customHeight="1">
      <c r="W4315" s="253"/>
    </row>
    <row r="4316" spans="23:23" ht="20.25" customHeight="1">
      <c r="W4316" s="253"/>
    </row>
    <row r="4317" spans="23:23" ht="20.25" customHeight="1">
      <c r="W4317" s="253"/>
    </row>
    <row r="4318" spans="23:23" ht="20.25" customHeight="1">
      <c r="W4318" s="253"/>
    </row>
    <row r="4319" spans="23:23" ht="20.25" customHeight="1">
      <c r="W4319" s="253"/>
    </row>
    <row r="4320" spans="23:23" ht="20.25" customHeight="1">
      <c r="W4320" s="253"/>
    </row>
    <row r="4321" spans="23:23" ht="20.25" customHeight="1">
      <c r="W4321" s="253"/>
    </row>
    <row r="4322" spans="23:23" ht="20.25" customHeight="1">
      <c r="W4322" s="253"/>
    </row>
    <row r="4323" spans="23:23" ht="20.25" customHeight="1">
      <c r="W4323" s="253"/>
    </row>
    <row r="4324" spans="23:23" ht="20.25" customHeight="1">
      <c r="W4324" s="253"/>
    </row>
    <row r="4325" spans="23:23" ht="20.25" customHeight="1">
      <c r="W4325" s="253"/>
    </row>
    <row r="4326" spans="23:23" ht="20.25" customHeight="1">
      <c r="W4326" s="253"/>
    </row>
    <row r="4327" spans="23:23" ht="20.25" customHeight="1">
      <c r="W4327" s="253"/>
    </row>
    <row r="4328" spans="23:23" ht="20.25" customHeight="1">
      <c r="W4328" s="253"/>
    </row>
    <row r="4329" spans="23:23" ht="20.25" customHeight="1">
      <c r="W4329" s="253"/>
    </row>
    <row r="4330" spans="23:23" ht="20.25" customHeight="1">
      <c r="W4330" s="253"/>
    </row>
    <row r="4331" spans="23:23" ht="20.25" customHeight="1">
      <c r="W4331" s="253"/>
    </row>
    <row r="4332" spans="23:23" ht="20.25" customHeight="1">
      <c r="W4332" s="253"/>
    </row>
    <row r="4333" spans="23:23" ht="20.25" customHeight="1">
      <c r="W4333" s="253"/>
    </row>
    <row r="4334" spans="23:23" ht="20.25" customHeight="1">
      <c r="W4334" s="253"/>
    </row>
    <row r="4335" spans="23:23" ht="20.25" customHeight="1">
      <c r="W4335" s="253"/>
    </row>
    <row r="4336" spans="23:23" ht="20.25" customHeight="1">
      <c r="W4336" s="253"/>
    </row>
    <row r="4337" spans="23:23" ht="20.25" customHeight="1">
      <c r="W4337" s="253"/>
    </row>
    <row r="4338" spans="23:23" ht="20.25" customHeight="1">
      <c r="W4338" s="253"/>
    </row>
    <row r="4339" spans="23:23" ht="20.25" customHeight="1">
      <c r="W4339" s="253"/>
    </row>
    <row r="4340" spans="23:23" ht="20.25" customHeight="1">
      <c r="W4340" s="253"/>
    </row>
    <row r="4341" spans="23:23" ht="20.25" customHeight="1">
      <c r="W4341" s="253"/>
    </row>
    <row r="4342" spans="23:23" ht="20.25" customHeight="1">
      <c r="W4342" s="253"/>
    </row>
    <row r="4343" spans="23:23" ht="20.25" customHeight="1">
      <c r="W4343" s="253"/>
    </row>
    <row r="4344" spans="23:23" ht="20.25" customHeight="1">
      <c r="W4344" s="253"/>
    </row>
    <row r="4345" spans="23:23" ht="20.25" customHeight="1">
      <c r="W4345" s="253"/>
    </row>
    <row r="4346" spans="23:23" ht="20.25" customHeight="1">
      <c r="W4346" s="253"/>
    </row>
    <row r="4347" spans="23:23" ht="20.25" customHeight="1">
      <c r="W4347" s="253"/>
    </row>
    <row r="4348" spans="23:23" ht="20.25" customHeight="1">
      <c r="W4348" s="253"/>
    </row>
    <row r="4349" spans="23:23" ht="20.25" customHeight="1">
      <c r="W4349" s="253"/>
    </row>
    <row r="4350" spans="23:23" ht="20.25" customHeight="1">
      <c r="W4350" s="253"/>
    </row>
    <row r="4351" spans="23:23" ht="20.25" customHeight="1">
      <c r="W4351" s="253"/>
    </row>
    <row r="4352" spans="23:23" ht="20.25" customHeight="1">
      <c r="W4352" s="253"/>
    </row>
    <row r="4353" spans="23:23" ht="20.25" customHeight="1">
      <c r="W4353" s="253"/>
    </row>
    <row r="4354" spans="23:23" ht="20.25" customHeight="1">
      <c r="W4354" s="253"/>
    </row>
    <row r="4355" spans="23:23" ht="20.25" customHeight="1">
      <c r="W4355" s="253"/>
    </row>
    <row r="4356" spans="23:23" ht="20.25" customHeight="1">
      <c r="W4356" s="253"/>
    </row>
    <row r="4357" spans="23:23" ht="20.25" customHeight="1">
      <c r="W4357" s="253"/>
    </row>
    <row r="4358" spans="23:23" ht="20.25" customHeight="1">
      <c r="W4358" s="253"/>
    </row>
    <row r="4359" spans="23:23" ht="20.25" customHeight="1">
      <c r="W4359" s="253"/>
    </row>
    <row r="4360" spans="23:23" ht="20.25" customHeight="1">
      <c r="W4360" s="253"/>
    </row>
    <row r="4361" spans="23:23" ht="20.25" customHeight="1">
      <c r="W4361" s="253"/>
    </row>
    <row r="4362" spans="23:23" ht="20.25" customHeight="1">
      <c r="W4362" s="253"/>
    </row>
    <row r="4363" spans="23:23" ht="20.25" customHeight="1">
      <c r="W4363" s="253"/>
    </row>
    <row r="4364" spans="23:23" ht="20.25" customHeight="1">
      <c r="W4364" s="253"/>
    </row>
    <row r="4365" spans="23:23" ht="20.25" customHeight="1">
      <c r="W4365" s="253"/>
    </row>
    <row r="4366" spans="23:23" ht="20.25" customHeight="1">
      <c r="W4366" s="253"/>
    </row>
    <row r="4367" spans="23:23" ht="20.25" customHeight="1">
      <c r="W4367" s="253"/>
    </row>
    <row r="4368" spans="23:23" ht="20.25" customHeight="1">
      <c r="W4368" s="253"/>
    </row>
    <row r="4369" spans="23:23" ht="20.25" customHeight="1">
      <c r="W4369" s="253"/>
    </row>
    <row r="4370" spans="23:23" ht="20.25" customHeight="1">
      <c r="W4370" s="253"/>
    </row>
    <row r="4371" spans="23:23" ht="20.25" customHeight="1">
      <c r="W4371" s="253"/>
    </row>
    <row r="4372" spans="23:23" ht="20.25" customHeight="1">
      <c r="W4372" s="253"/>
    </row>
    <row r="4373" spans="23:23" ht="20.25" customHeight="1">
      <c r="W4373" s="253"/>
    </row>
    <row r="4374" spans="23:23" ht="20.25" customHeight="1">
      <c r="W4374" s="253"/>
    </row>
    <row r="4375" spans="23:23" ht="20.25" customHeight="1">
      <c r="W4375" s="253"/>
    </row>
    <row r="4376" spans="23:23" ht="20.25" customHeight="1">
      <c r="W4376" s="253"/>
    </row>
    <row r="4377" spans="23:23" ht="20.25" customHeight="1">
      <c r="W4377" s="253"/>
    </row>
    <row r="4378" spans="23:23" ht="20.25" customHeight="1">
      <c r="W4378" s="253"/>
    </row>
    <row r="4379" spans="23:23" ht="20.25" customHeight="1">
      <c r="W4379" s="253"/>
    </row>
    <row r="4380" spans="23:23" ht="20.25" customHeight="1">
      <c r="W4380" s="253"/>
    </row>
    <row r="4381" spans="23:23" ht="20.25" customHeight="1">
      <c r="W4381" s="253"/>
    </row>
    <row r="4382" spans="23:23" ht="20.25" customHeight="1">
      <c r="W4382" s="253"/>
    </row>
    <row r="4383" spans="23:23" ht="20.25" customHeight="1">
      <c r="W4383" s="253"/>
    </row>
    <row r="4384" spans="23:23" ht="20.25" customHeight="1">
      <c r="W4384" s="253"/>
    </row>
    <row r="4385" spans="23:23" ht="20.25" customHeight="1">
      <c r="W4385" s="253"/>
    </row>
    <row r="4386" spans="23:23" ht="20.25" customHeight="1">
      <c r="W4386" s="253"/>
    </row>
    <row r="4387" spans="23:23" ht="20.25" customHeight="1">
      <c r="W4387" s="253"/>
    </row>
    <row r="4388" spans="23:23" ht="20.25" customHeight="1">
      <c r="W4388" s="253"/>
    </row>
    <row r="4389" spans="23:23" ht="20.25" customHeight="1">
      <c r="W4389" s="253"/>
    </row>
    <row r="4390" spans="23:23" ht="20.25" customHeight="1">
      <c r="W4390" s="253"/>
    </row>
    <row r="4391" spans="23:23" ht="20.25" customHeight="1">
      <c r="W4391" s="253"/>
    </row>
    <row r="4392" spans="23:23" ht="20.25" customHeight="1">
      <c r="W4392" s="253"/>
    </row>
    <row r="4393" spans="23:23" ht="20.25" customHeight="1">
      <c r="W4393" s="253"/>
    </row>
    <row r="4394" spans="23:23" ht="20.25" customHeight="1">
      <c r="W4394" s="253"/>
    </row>
    <row r="4395" spans="23:23" ht="20.25" customHeight="1">
      <c r="W4395" s="253"/>
    </row>
    <row r="4396" spans="23:23" ht="20.25" customHeight="1">
      <c r="W4396" s="253"/>
    </row>
    <row r="4397" spans="23:23" ht="20.25" customHeight="1">
      <c r="W4397" s="253"/>
    </row>
    <row r="4398" spans="23:23" ht="20.25" customHeight="1">
      <c r="W4398" s="253"/>
    </row>
    <row r="4399" spans="23:23" ht="20.25" customHeight="1">
      <c r="W4399" s="253"/>
    </row>
    <row r="4400" spans="23:23" ht="20.25" customHeight="1">
      <c r="W4400" s="253"/>
    </row>
    <row r="4401" spans="23:23" ht="20.25" customHeight="1">
      <c r="W4401" s="253"/>
    </row>
    <row r="4402" spans="23:23" ht="20.25" customHeight="1">
      <c r="W4402" s="253"/>
    </row>
    <row r="4403" spans="23:23" ht="20.25" customHeight="1">
      <c r="W4403" s="253"/>
    </row>
    <row r="4404" spans="23:23" ht="20.25" customHeight="1">
      <c r="W4404" s="253"/>
    </row>
    <row r="4405" spans="23:23" ht="20.25" customHeight="1">
      <c r="W4405" s="253"/>
    </row>
    <row r="4406" spans="23:23" ht="20.25" customHeight="1">
      <c r="W4406" s="253"/>
    </row>
    <row r="4407" spans="23:23" ht="20.25" customHeight="1">
      <c r="W4407" s="253"/>
    </row>
    <row r="4408" spans="23:23" ht="20.25" customHeight="1">
      <c r="W4408" s="253"/>
    </row>
    <row r="4409" spans="23:23" ht="20.25" customHeight="1">
      <c r="W4409" s="253"/>
    </row>
    <row r="4410" spans="23:23" ht="20.25" customHeight="1">
      <c r="W4410" s="253"/>
    </row>
    <row r="4411" spans="23:23" ht="20.25" customHeight="1">
      <c r="W4411" s="253"/>
    </row>
    <row r="4412" spans="23:23" ht="20.25" customHeight="1">
      <c r="W4412" s="253"/>
    </row>
    <row r="4413" spans="23:23" ht="20.25" customHeight="1">
      <c r="W4413" s="253"/>
    </row>
    <row r="4414" spans="23:23" ht="20.25" customHeight="1">
      <c r="W4414" s="253"/>
    </row>
    <row r="4415" spans="23:23" ht="20.25" customHeight="1">
      <c r="W4415" s="253"/>
    </row>
    <row r="4416" spans="23:23" ht="20.25" customHeight="1">
      <c r="W4416" s="253"/>
    </row>
    <row r="4417" spans="23:23" ht="20.25" customHeight="1">
      <c r="W4417" s="253"/>
    </row>
    <row r="4418" spans="23:23" ht="20.25" customHeight="1">
      <c r="W4418" s="253"/>
    </row>
    <row r="4419" spans="23:23" ht="20.25" customHeight="1">
      <c r="W4419" s="253"/>
    </row>
    <row r="4420" spans="23:23" ht="20.25" customHeight="1">
      <c r="W4420" s="253"/>
    </row>
    <row r="4421" spans="23:23" ht="20.25" customHeight="1">
      <c r="W4421" s="253"/>
    </row>
    <row r="4422" spans="23:23" ht="20.25" customHeight="1">
      <c r="W4422" s="253"/>
    </row>
    <row r="4423" spans="23:23" ht="20.25" customHeight="1">
      <c r="W4423" s="253"/>
    </row>
    <row r="4424" spans="23:23" ht="20.25" customHeight="1">
      <c r="W4424" s="253"/>
    </row>
    <row r="4425" spans="23:23" ht="20.25" customHeight="1">
      <c r="W4425" s="253"/>
    </row>
    <row r="4426" spans="23:23" ht="20.25" customHeight="1">
      <c r="W4426" s="253"/>
    </row>
    <row r="4427" spans="23:23" ht="20.25" customHeight="1">
      <c r="W4427" s="253"/>
    </row>
    <row r="4428" spans="23:23" ht="20.25" customHeight="1">
      <c r="W4428" s="253"/>
    </row>
    <row r="4429" spans="23:23" ht="20.25" customHeight="1">
      <c r="W4429" s="253"/>
    </row>
    <row r="4430" spans="23:23" ht="20.25" customHeight="1">
      <c r="W4430" s="253"/>
    </row>
    <row r="4431" spans="23:23" ht="20.25" customHeight="1">
      <c r="W4431" s="253"/>
    </row>
    <row r="4432" spans="23:23" ht="20.25" customHeight="1">
      <c r="W4432" s="253"/>
    </row>
    <row r="4433" spans="23:23" ht="20.25" customHeight="1">
      <c r="W4433" s="253"/>
    </row>
    <row r="4434" spans="23:23" ht="20.25" customHeight="1">
      <c r="W4434" s="253"/>
    </row>
    <row r="4435" spans="23:23" ht="20.25" customHeight="1">
      <c r="W4435" s="253"/>
    </row>
    <row r="4436" spans="23:23" ht="20.25" customHeight="1">
      <c r="W4436" s="253"/>
    </row>
    <row r="4437" spans="23:23" ht="20.25" customHeight="1">
      <c r="W4437" s="253"/>
    </row>
    <row r="4438" spans="23:23" ht="20.25" customHeight="1">
      <c r="W4438" s="253"/>
    </row>
    <row r="4439" spans="23:23" ht="20.25" customHeight="1">
      <c r="W4439" s="253"/>
    </row>
    <row r="4440" spans="23:23" ht="20.25" customHeight="1">
      <c r="W4440" s="253"/>
    </row>
    <row r="4441" spans="23:23" ht="20.25" customHeight="1">
      <c r="W4441" s="253"/>
    </row>
    <row r="4442" spans="23:23" ht="20.25" customHeight="1">
      <c r="W4442" s="253"/>
    </row>
    <row r="4443" spans="23:23" ht="20.25" customHeight="1">
      <c r="W4443" s="253"/>
    </row>
    <row r="4444" spans="23:23" ht="20.25" customHeight="1">
      <c r="W4444" s="253"/>
    </row>
    <row r="4445" spans="23:23" ht="20.25" customHeight="1">
      <c r="W4445" s="253"/>
    </row>
    <row r="4446" spans="23:23" ht="20.25" customHeight="1">
      <c r="W4446" s="253"/>
    </row>
    <row r="4447" spans="23:23" ht="20.25" customHeight="1">
      <c r="W4447" s="253"/>
    </row>
    <row r="4448" spans="23:23" ht="20.25" customHeight="1">
      <c r="W4448" s="253"/>
    </row>
    <row r="4449" spans="23:23" ht="20.25" customHeight="1">
      <c r="W4449" s="253"/>
    </row>
    <row r="4450" spans="23:23" ht="20.25" customHeight="1">
      <c r="W4450" s="253"/>
    </row>
    <row r="4451" spans="23:23" ht="20.25" customHeight="1">
      <c r="W4451" s="253"/>
    </row>
    <row r="4452" spans="23:23" ht="20.25" customHeight="1">
      <c r="W4452" s="253"/>
    </row>
    <row r="4453" spans="23:23" ht="20.25" customHeight="1">
      <c r="W4453" s="253"/>
    </row>
    <row r="4454" spans="23:23" ht="20.25" customHeight="1">
      <c r="W4454" s="253"/>
    </row>
    <row r="4455" spans="23:23" ht="20.25" customHeight="1">
      <c r="W4455" s="253"/>
    </row>
    <row r="4456" spans="23:23" ht="20.25" customHeight="1">
      <c r="W4456" s="253"/>
    </row>
    <row r="4457" spans="23:23" ht="20.25" customHeight="1">
      <c r="W4457" s="253"/>
    </row>
    <row r="4458" spans="23:23" ht="20.25" customHeight="1">
      <c r="W4458" s="253"/>
    </row>
    <row r="4459" spans="23:23" ht="20.25" customHeight="1">
      <c r="W4459" s="253"/>
    </row>
    <row r="4460" spans="23:23" ht="20.25" customHeight="1">
      <c r="W4460" s="253"/>
    </row>
    <row r="4461" spans="23:23" ht="20.25" customHeight="1">
      <c r="W4461" s="253"/>
    </row>
    <row r="4462" spans="23:23" ht="20.25" customHeight="1">
      <c r="W4462" s="253"/>
    </row>
    <row r="4463" spans="23:23" ht="20.25" customHeight="1">
      <c r="W4463" s="253"/>
    </row>
    <row r="4464" spans="23:23" ht="20.25" customHeight="1">
      <c r="W4464" s="253"/>
    </row>
    <row r="4465" spans="23:23" ht="20.25" customHeight="1">
      <c r="W4465" s="253"/>
    </row>
    <row r="4466" spans="23:23" ht="20.25" customHeight="1">
      <c r="W4466" s="253"/>
    </row>
    <row r="4467" spans="23:23" ht="20.25" customHeight="1">
      <c r="W4467" s="253"/>
    </row>
    <row r="4468" spans="23:23" ht="20.25" customHeight="1">
      <c r="W4468" s="253"/>
    </row>
    <row r="4469" spans="23:23" ht="20.25" customHeight="1">
      <c r="W4469" s="253"/>
    </row>
    <row r="4470" spans="23:23" ht="20.25" customHeight="1">
      <c r="W4470" s="253"/>
    </row>
    <row r="4471" spans="23:23" ht="20.25" customHeight="1">
      <c r="W4471" s="253"/>
    </row>
    <row r="4472" spans="23:23" ht="20.25" customHeight="1">
      <c r="W4472" s="253"/>
    </row>
    <row r="4473" spans="23:23" ht="20.25" customHeight="1">
      <c r="W4473" s="253"/>
    </row>
    <row r="4474" spans="23:23" ht="20.25" customHeight="1">
      <c r="W4474" s="253"/>
    </row>
    <row r="4475" spans="23:23" ht="20.25" customHeight="1">
      <c r="W4475" s="253"/>
    </row>
    <row r="4476" spans="23:23" ht="20.25" customHeight="1">
      <c r="W4476" s="253"/>
    </row>
    <row r="4477" spans="23:23" ht="20.25" customHeight="1">
      <c r="W4477" s="253"/>
    </row>
    <row r="4478" spans="23:23" ht="20.25" customHeight="1">
      <c r="W4478" s="253"/>
    </row>
    <row r="4479" spans="23:23" ht="20.25" customHeight="1">
      <c r="W4479" s="253"/>
    </row>
    <row r="4480" spans="23:23" ht="20.25" customHeight="1">
      <c r="W4480" s="253"/>
    </row>
    <row r="4481" spans="23:23" ht="20.25" customHeight="1">
      <c r="W4481" s="253"/>
    </row>
    <row r="4482" spans="23:23" ht="20.25" customHeight="1">
      <c r="W4482" s="253"/>
    </row>
    <row r="4483" spans="23:23" ht="20.25" customHeight="1">
      <c r="W4483" s="253"/>
    </row>
    <row r="4484" spans="23:23" ht="20.25" customHeight="1">
      <c r="W4484" s="253"/>
    </row>
    <row r="4485" spans="23:23" ht="20.25" customHeight="1">
      <c r="W4485" s="253"/>
    </row>
    <row r="4486" spans="23:23" ht="20.25" customHeight="1">
      <c r="W4486" s="253"/>
    </row>
    <row r="4487" spans="23:23" ht="20.25" customHeight="1">
      <c r="W4487" s="253"/>
    </row>
    <row r="4488" spans="23:23" ht="20.25" customHeight="1">
      <c r="W4488" s="253"/>
    </row>
    <row r="4489" spans="23:23" ht="20.25" customHeight="1">
      <c r="W4489" s="253"/>
    </row>
    <row r="4490" spans="23:23" ht="20.25" customHeight="1">
      <c r="W4490" s="253"/>
    </row>
    <row r="4491" spans="23:23" ht="20.25" customHeight="1">
      <c r="W4491" s="253"/>
    </row>
    <row r="4492" spans="23:23" ht="20.25" customHeight="1">
      <c r="W4492" s="253"/>
    </row>
    <row r="4493" spans="23:23" ht="20.25" customHeight="1">
      <c r="W4493" s="253"/>
    </row>
    <row r="4494" spans="23:23" ht="20.25" customHeight="1">
      <c r="W4494" s="253"/>
    </row>
    <row r="4495" spans="23:23" ht="20.25" customHeight="1">
      <c r="W4495" s="253"/>
    </row>
    <row r="4496" spans="23:23" ht="20.25" customHeight="1">
      <c r="W4496" s="253"/>
    </row>
    <row r="4497" spans="23:23" ht="20.25" customHeight="1">
      <c r="W4497" s="253"/>
    </row>
    <row r="4498" spans="23:23" ht="20.25" customHeight="1">
      <c r="W4498" s="253"/>
    </row>
    <row r="4499" spans="23:23" ht="20.25" customHeight="1">
      <c r="W4499" s="253"/>
    </row>
    <row r="4500" spans="23:23" ht="20.25" customHeight="1">
      <c r="W4500" s="253"/>
    </row>
    <row r="4501" spans="23:23" ht="20.25" customHeight="1">
      <c r="W4501" s="253"/>
    </row>
    <row r="4502" spans="23:23" ht="20.25" customHeight="1">
      <c r="W4502" s="253"/>
    </row>
    <row r="4503" spans="23:23" ht="20.25" customHeight="1">
      <c r="W4503" s="253"/>
    </row>
    <row r="4504" spans="23:23" ht="20.25" customHeight="1">
      <c r="W4504" s="253"/>
    </row>
    <row r="4505" spans="23:23" ht="20.25" customHeight="1">
      <c r="W4505" s="253"/>
    </row>
    <row r="4506" spans="23:23" ht="20.25" customHeight="1">
      <c r="W4506" s="253"/>
    </row>
    <row r="4507" spans="23:23" ht="20.25" customHeight="1">
      <c r="W4507" s="253"/>
    </row>
    <row r="4508" spans="23:23" ht="20.25" customHeight="1">
      <c r="W4508" s="253"/>
    </row>
    <row r="4509" spans="23:23" ht="20.25" customHeight="1">
      <c r="W4509" s="253"/>
    </row>
    <row r="4510" spans="23:23" ht="20.25" customHeight="1">
      <c r="W4510" s="253"/>
    </row>
    <row r="4511" spans="23:23" ht="20.25" customHeight="1">
      <c r="W4511" s="253"/>
    </row>
    <row r="4512" spans="23:23" ht="20.25" customHeight="1">
      <c r="W4512" s="253"/>
    </row>
    <row r="4513" spans="23:23" ht="20.25" customHeight="1">
      <c r="W4513" s="253"/>
    </row>
    <row r="4514" spans="23:23" ht="20.25" customHeight="1">
      <c r="W4514" s="253"/>
    </row>
    <row r="4515" spans="23:23" ht="20.25" customHeight="1">
      <c r="W4515" s="253"/>
    </row>
    <row r="4516" spans="23:23" ht="20.25" customHeight="1">
      <c r="W4516" s="253"/>
    </row>
    <row r="4517" spans="23:23" ht="20.25" customHeight="1">
      <c r="W4517" s="253"/>
    </row>
    <row r="4518" spans="23:23" ht="20.25" customHeight="1">
      <c r="W4518" s="253"/>
    </row>
    <row r="4519" spans="23:23" ht="20.25" customHeight="1">
      <c r="W4519" s="253"/>
    </row>
    <row r="4520" spans="23:23" ht="20.25" customHeight="1">
      <c r="W4520" s="253"/>
    </row>
    <row r="4521" spans="23:23" ht="20.25" customHeight="1">
      <c r="W4521" s="253"/>
    </row>
    <row r="4522" spans="23:23" ht="20.25" customHeight="1">
      <c r="W4522" s="253"/>
    </row>
    <row r="4523" spans="23:23" ht="20.25" customHeight="1">
      <c r="W4523" s="253"/>
    </row>
    <row r="4524" spans="23:23" ht="20.25" customHeight="1">
      <c r="W4524" s="253"/>
    </row>
    <row r="4525" spans="23:23" ht="20.25" customHeight="1">
      <c r="W4525" s="253"/>
    </row>
    <row r="4526" spans="23:23" ht="20.25" customHeight="1">
      <c r="W4526" s="253"/>
    </row>
    <row r="4527" spans="23:23" ht="20.25" customHeight="1">
      <c r="W4527" s="253"/>
    </row>
    <row r="4528" spans="23:23" ht="20.25" customHeight="1">
      <c r="W4528" s="253"/>
    </row>
    <row r="4529" spans="23:23" ht="20.25" customHeight="1">
      <c r="W4529" s="253"/>
    </row>
    <row r="4530" spans="23:23" ht="20.25" customHeight="1">
      <c r="W4530" s="253"/>
    </row>
    <row r="4531" spans="23:23" ht="20.25" customHeight="1">
      <c r="W4531" s="253"/>
    </row>
    <row r="4532" spans="23:23" ht="20.25" customHeight="1">
      <c r="W4532" s="253"/>
    </row>
    <row r="4533" spans="23:23" ht="20.25" customHeight="1">
      <c r="W4533" s="253"/>
    </row>
    <row r="4534" spans="23:23" ht="20.25" customHeight="1">
      <c r="W4534" s="253"/>
    </row>
    <row r="4535" spans="23:23" ht="20.25" customHeight="1">
      <c r="W4535" s="253"/>
    </row>
    <row r="4536" spans="23:23" ht="20.25" customHeight="1">
      <c r="W4536" s="253"/>
    </row>
    <row r="4537" spans="23:23" ht="20.25" customHeight="1">
      <c r="W4537" s="253"/>
    </row>
    <row r="4538" spans="23:23" ht="20.25" customHeight="1">
      <c r="W4538" s="253"/>
    </row>
    <row r="4539" spans="23:23" ht="20.25" customHeight="1">
      <c r="W4539" s="253"/>
    </row>
    <row r="4540" spans="23:23" ht="20.25" customHeight="1">
      <c r="W4540" s="253"/>
    </row>
    <row r="4541" spans="23:23" ht="20.25" customHeight="1">
      <c r="W4541" s="253"/>
    </row>
    <row r="4542" spans="23:23" ht="20.25" customHeight="1">
      <c r="W4542" s="253"/>
    </row>
    <row r="4543" spans="23:23" ht="20.25" customHeight="1">
      <c r="W4543" s="253"/>
    </row>
    <row r="4544" spans="23:23" ht="20.25" customHeight="1">
      <c r="W4544" s="253"/>
    </row>
    <row r="4545" spans="23:23" ht="20.25" customHeight="1">
      <c r="W4545" s="253"/>
    </row>
    <row r="4546" spans="23:23" ht="20.25" customHeight="1">
      <c r="W4546" s="253"/>
    </row>
    <row r="4547" spans="23:23" ht="20.25" customHeight="1">
      <c r="W4547" s="253"/>
    </row>
    <row r="4548" spans="23:23" ht="20.25" customHeight="1">
      <c r="W4548" s="253"/>
    </row>
    <row r="4549" spans="23:23" ht="20.25" customHeight="1">
      <c r="W4549" s="253"/>
    </row>
    <row r="4550" spans="23:23" ht="20.25" customHeight="1">
      <c r="W4550" s="253"/>
    </row>
    <row r="4551" spans="23:23" ht="20.25" customHeight="1">
      <c r="W4551" s="253"/>
    </row>
    <row r="4552" spans="23:23" ht="20.25" customHeight="1">
      <c r="W4552" s="253"/>
    </row>
    <row r="4553" spans="23:23" ht="20.25" customHeight="1">
      <c r="W4553" s="253"/>
    </row>
    <row r="4554" spans="23:23" ht="20.25" customHeight="1">
      <c r="W4554" s="253"/>
    </row>
    <row r="4555" spans="23:23" ht="20.25" customHeight="1">
      <c r="W4555" s="253"/>
    </row>
    <row r="4556" spans="23:23" ht="20.25" customHeight="1">
      <c r="W4556" s="253"/>
    </row>
    <row r="4557" spans="23:23" ht="20.25" customHeight="1">
      <c r="W4557" s="253"/>
    </row>
    <row r="4558" spans="23:23" ht="20.25" customHeight="1">
      <c r="W4558" s="253"/>
    </row>
    <row r="4559" spans="23:23" ht="20.25" customHeight="1">
      <c r="W4559" s="253"/>
    </row>
    <row r="4560" spans="23:23" ht="20.25" customHeight="1">
      <c r="W4560" s="253"/>
    </row>
    <row r="4561" spans="23:23" ht="20.25" customHeight="1">
      <c r="W4561" s="253"/>
    </row>
    <row r="4562" spans="23:23" ht="20.25" customHeight="1">
      <c r="W4562" s="253"/>
    </row>
    <row r="4563" spans="23:23" ht="20.25" customHeight="1">
      <c r="W4563" s="253"/>
    </row>
    <row r="4564" spans="23:23" ht="20.25" customHeight="1">
      <c r="W4564" s="253"/>
    </row>
    <row r="4565" spans="23:23" ht="20.25" customHeight="1">
      <c r="W4565" s="253"/>
    </row>
    <row r="4566" spans="23:23" ht="20.25" customHeight="1">
      <c r="W4566" s="253"/>
    </row>
    <row r="4567" spans="23:23" ht="20.25" customHeight="1">
      <c r="W4567" s="253"/>
    </row>
    <row r="4568" spans="23:23" ht="20.25" customHeight="1">
      <c r="W4568" s="253"/>
    </row>
    <row r="4569" spans="23:23" ht="20.25" customHeight="1">
      <c r="W4569" s="253"/>
    </row>
    <row r="4570" spans="23:23" ht="20.25" customHeight="1">
      <c r="W4570" s="253"/>
    </row>
    <row r="4571" spans="23:23" ht="20.25" customHeight="1">
      <c r="W4571" s="253"/>
    </row>
    <row r="4572" spans="23:23" ht="20.25" customHeight="1">
      <c r="W4572" s="253"/>
    </row>
    <row r="4573" spans="23:23" ht="20.25" customHeight="1">
      <c r="W4573" s="253"/>
    </row>
    <row r="4574" spans="23:23" ht="20.25" customHeight="1">
      <c r="W4574" s="253"/>
    </row>
    <row r="4575" spans="23:23" ht="20.25" customHeight="1">
      <c r="W4575" s="253"/>
    </row>
    <row r="4576" spans="23:23" ht="20.25" customHeight="1">
      <c r="W4576" s="253"/>
    </row>
    <row r="4577" spans="23:23" ht="20.25" customHeight="1">
      <c r="W4577" s="253"/>
    </row>
    <row r="4578" spans="23:23" ht="20.25" customHeight="1">
      <c r="W4578" s="253"/>
    </row>
    <row r="4579" spans="23:23" ht="20.25" customHeight="1">
      <c r="W4579" s="253"/>
    </row>
    <row r="4580" spans="23:23" ht="20.25" customHeight="1">
      <c r="W4580" s="253"/>
    </row>
    <row r="4581" spans="23:23" ht="20.25" customHeight="1">
      <c r="W4581" s="253"/>
    </row>
    <row r="4582" spans="23:23" ht="20.25" customHeight="1">
      <c r="W4582" s="253"/>
    </row>
    <row r="4583" spans="23:23" ht="20.25" customHeight="1">
      <c r="W4583" s="253"/>
    </row>
    <row r="4584" spans="23:23" ht="20.25" customHeight="1">
      <c r="W4584" s="253"/>
    </row>
    <row r="4585" spans="23:23" ht="20.25" customHeight="1">
      <c r="W4585" s="253"/>
    </row>
    <row r="4586" spans="23:23" ht="20.25" customHeight="1">
      <c r="W4586" s="253"/>
    </row>
    <row r="4587" spans="23:23" ht="20.25" customHeight="1">
      <c r="W4587" s="253"/>
    </row>
    <row r="4588" spans="23:23" ht="20.25" customHeight="1">
      <c r="W4588" s="253"/>
    </row>
    <row r="4589" spans="23:23" ht="20.25" customHeight="1">
      <c r="W4589" s="253"/>
    </row>
    <row r="4590" spans="23:23" ht="20.25" customHeight="1">
      <c r="W4590" s="253"/>
    </row>
    <row r="4591" spans="23:23" ht="20.25" customHeight="1">
      <c r="W4591" s="253"/>
    </row>
    <row r="4592" spans="23:23" ht="20.25" customHeight="1">
      <c r="W4592" s="253"/>
    </row>
    <row r="4593" spans="23:23" ht="20.25" customHeight="1">
      <c r="W4593" s="253"/>
    </row>
    <row r="4594" spans="23:23" ht="20.25" customHeight="1">
      <c r="W4594" s="253"/>
    </row>
    <row r="4595" spans="23:23" ht="20.25" customHeight="1">
      <c r="W4595" s="253"/>
    </row>
    <row r="4596" spans="23:23" ht="20.25" customHeight="1">
      <c r="W4596" s="253"/>
    </row>
    <row r="4597" spans="23:23" ht="20.25" customHeight="1">
      <c r="W4597" s="253"/>
    </row>
    <row r="4598" spans="23:23" ht="20.25" customHeight="1">
      <c r="W4598" s="253"/>
    </row>
    <row r="4599" spans="23:23" ht="20.25" customHeight="1">
      <c r="W4599" s="253"/>
    </row>
    <row r="4600" spans="23:23" ht="20.25" customHeight="1">
      <c r="W4600" s="253"/>
    </row>
    <row r="4601" spans="23:23" ht="20.25" customHeight="1">
      <c r="W4601" s="253"/>
    </row>
    <row r="4602" spans="23:23" ht="20.25" customHeight="1">
      <c r="W4602" s="253"/>
    </row>
    <row r="4603" spans="23:23" ht="20.25" customHeight="1">
      <c r="W4603" s="253"/>
    </row>
    <row r="4604" spans="23:23" ht="20.25" customHeight="1">
      <c r="W4604" s="253"/>
    </row>
    <row r="4605" spans="23:23" ht="20.25" customHeight="1">
      <c r="W4605" s="253"/>
    </row>
    <row r="4606" spans="23:23" ht="20.25" customHeight="1">
      <c r="W4606" s="253"/>
    </row>
    <row r="4607" spans="23:23" ht="20.25" customHeight="1">
      <c r="W4607" s="253"/>
    </row>
    <row r="4608" spans="23:23" ht="20.25" customHeight="1">
      <c r="W4608" s="253"/>
    </row>
    <row r="4609" spans="23:23" ht="20.25" customHeight="1">
      <c r="W4609" s="253"/>
    </row>
    <row r="4610" spans="23:23" ht="20.25" customHeight="1">
      <c r="W4610" s="253"/>
    </row>
    <row r="4611" spans="23:23" ht="20.25" customHeight="1">
      <c r="W4611" s="253"/>
    </row>
    <row r="4612" spans="23:23" ht="20.25" customHeight="1">
      <c r="W4612" s="253"/>
    </row>
    <row r="4613" spans="23:23" ht="20.25" customHeight="1">
      <c r="W4613" s="253"/>
    </row>
    <row r="4614" spans="23:23" ht="20.25" customHeight="1">
      <c r="W4614" s="253"/>
    </row>
    <row r="4615" spans="23:23" ht="20.25" customHeight="1">
      <c r="W4615" s="253"/>
    </row>
    <row r="4616" spans="23:23" ht="20.25" customHeight="1">
      <c r="W4616" s="253"/>
    </row>
    <row r="4617" spans="23:23" ht="20.25" customHeight="1">
      <c r="W4617" s="253"/>
    </row>
    <row r="4618" spans="23:23" ht="20.25" customHeight="1">
      <c r="W4618" s="253"/>
    </row>
    <row r="4619" spans="23:23" ht="20.25" customHeight="1">
      <c r="W4619" s="253"/>
    </row>
    <row r="4620" spans="23:23" ht="20.25" customHeight="1">
      <c r="W4620" s="253"/>
    </row>
    <row r="4621" spans="23:23" ht="20.25" customHeight="1">
      <c r="W4621" s="253"/>
    </row>
    <row r="4622" spans="23:23" ht="20.25" customHeight="1">
      <c r="W4622" s="253"/>
    </row>
    <row r="4623" spans="23:23" ht="20.25" customHeight="1">
      <c r="W4623" s="253"/>
    </row>
    <row r="4624" spans="23:23" ht="20.25" customHeight="1">
      <c r="W4624" s="253"/>
    </row>
    <row r="4625" spans="23:23" ht="20.25" customHeight="1">
      <c r="W4625" s="253"/>
    </row>
    <row r="4626" spans="23:23" ht="20.25" customHeight="1">
      <c r="W4626" s="253"/>
    </row>
    <row r="4627" spans="23:23" ht="20.25" customHeight="1">
      <c r="W4627" s="253"/>
    </row>
    <row r="4628" spans="23:23" ht="20.25" customHeight="1">
      <c r="W4628" s="253"/>
    </row>
    <row r="4629" spans="23:23" ht="20.25" customHeight="1">
      <c r="W4629" s="253"/>
    </row>
    <row r="4630" spans="23:23" ht="20.25" customHeight="1">
      <c r="W4630" s="253"/>
    </row>
    <row r="4631" spans="23:23" ht="20.25" customHeight="1">
      <c r="W4631" s="253"/>
    </row>
    <row r="4632" spans="23:23" ht="20.25" customHeight="1">
      <c r="W4632" s="253"/>
    </row>
    <row r="4633" spans="23:23" ht="20.25" customHeight="1">
      <c r="W4633" s="253"/>
    </row>
    <row r="4634" spans="23:23" ht="20.25" customHeight="1">
      <c r="W4634" s="253"/>
    </row>
    <row r="4635" spans="23:23" ht="20.25" customHeight="1">
      <c r="W4635" s="253"/>
    </row>
    <row r="4636" spans="23:23" ht="20.25" customHeight="1">
      <c r="W4636" s="253"/>
    </row>
    <row r="4637" spans="23:23" ht="20.25" customHeight="1">
      <c r="W4637" s="253"/>
    </row>
    <row r="4638" spans="23:23" ht="20.25" customHeight="1">
      <c r="W4638" s="253"/>
    </row>
    <row r="4639" spans="23:23" ht="20.25" customHeight="1">
      <c r="W4639" s="253"/>
    </row>
    <row r="4640" spans="23:23" ht="20.25" customHeight="1">
      <c r="W4640" s="253"/>
    </row>
    <row r="4641" spans="23:23" ht="20.25" customHeight="1">
      <c r="W4641" s="253"/>
    </row>
    <row r="4642" spans="23:23" ht="20.25" customHeight="1">
      <c r="W4642" s="253"/>
    </row>
    <row r="4643" spans="23:23" ht="20.25" customHeight="1">
      <c r="W4643" s="253"/>
    </row>
    <row r="4644" spans="23:23" ht="20.25" customHeight="1">
      <c r="W4644" s="253"/>
    </row>
    <row r="4645" spans="23:23" ht="20.25" customHeight="1">
      <c r="W4645" s="253"/>
    </row>
    <row r="4646" spans="23:23" ht="20.25" customHeight="1">
      <c r="W4646" s="253"/>
    </row>
    <row r="4647" spans="23:23" ht="20.25" customHeight="1">
      <c r="W4647" s="253"/>
    </row>
    <row r="4648" spans="23:23" ht="20.25" customHeight="1">
      <c r="W4648" s="253"/>
    </row>
    <row r="4649" spans="23:23" ht="20.25" customHeight="1">
      <c r="W4649" s="253"/>
    </row>
    <row r="4650" spans="23:23" ht="20.25" customHeight="1">
      <c r="W4650" s="253"/>
    </row>
    <row r="4651" spans="23:23" ht="20.25" customHeight="1">
      <c r="W4651" s="253"/>
    </row>
    <row r="4652" spans="23:23" ht="20.25" customHeight="1">
      <c r="W4652" s="253"/>
    </row>
    <row r="4653" spans="23:23" ht="20.25" customHeight="1">
      <c r="W4653" s="253"/>
    </row>
    <row r="4654" spans="23:23" ht="20.25" customHeight="1">
      <c r="W4654" s="253"/>
    </row>
    <row r="4655" spans="23:23" ht="20.25" customHeight="1">
      <c r="W4655" s="253"/>
    </row>
    <row r="4656" spans="23:23" ht="20.25" customHeight="1">
      <c r="W4656" s="253"/>
    </row>
    <row r="4657" spans="23:23" ht="20.25" customHeight="1">
      <c r="W4657" s="253"/>
    </row>
    <row r="4658" spans="23:23" ht="20.25" customHeight="1">
      <c r="W4658" s="253"/>
    </row>
    <row r="4659" spans="23:23" ht="20.25" customHeight="1">
      <c r="W4659" s="253"/>
    </row>
    <row r="4660" spans="23:23" ht="20.25" customHeight="1">
      <c r="W4660" s="253"/>
    </row>
    <row r="4661" spans="23:23" ht="20.25" customHeight="1">
      <c r="W4661" s="253"/>
    </row>
    <row r="4662" spans="23:23" ht="20.25" customHeight="1">
      <c r="W4662" s="253"/>
    </row>
    <row r="4663" spans="23:23" ht="20.25" customHeight="1">
      <c r="W4663" s="253"/>
    </row>
    <row r="4664" spans="23:23" ht="20.25" customHeight="1">
      <c r="W4664" s="253"/>
    </row>
    <row r="4665" spans="23:23" ht="20.25" customHeight="1">
      <c r="W4665" s="253"/>
    </row>
    <row r="4666" spans="23:23" ht="20.25" customHeight="1">
      <c r="W4666" s="253"/>
    </row>
    <row r="4667" spans="23:23" ht="20.25" customHeight="1">
      <c r="W4667" s="253"/>
    </row>
    <row r="4668" spans="23:23" ht="20.25" customHeight="1">
      <c r="W4668" s="253"/>
    </row>
    <row r="4669" spans="23:23" ht="20.25" customHeight="1">
      <c r="W4669" s="253"/>
    </row>
    <row r="4670" spans="23:23" ht="20.25" customHeight="1">
      <c r="W4670" s="253"/>
    </row>
    <row r="4671" spans="23:23" ht="20.25" customHeight="1">
      <c r="W4671" s="253"/>
    </row>
    <row r="4672" spans="23:23" ht="20.25" customHeight="1">
      <c r="W4672" s="253"/>
    </row>
    <row r="4673" spans="23:23" ht="20.25" customHeight="1">
      <c r="W4673" s="253"/>
    </row>
    <row r="4674" spans="23:23" ht="20.25" customHeight="1">
      <c r="W4674" s="253"/>
    </row>
    <row r="4675" spans="23:23" ht="20.25" customHeight="1">
      <c r="W4675" s="253"/>
    </row>
    <row r="4676" spans="23:23" ht="20.25" customHeight="1">
      <c r="W4676" s="253"/>
    </row>
    <row r="4677" spans="23:23" ht="20.25" customHeight="1">
      <c r="W4677" s="253"/>
    </row>
    <row r="4678" spans="23:23" ht="20.25" customHeight="1">
      <c r="W4678" s="253"/>
    </row>
    <row r="4679" spans="23:23" ht="20.25" customHeight="1">
      <c r="W4679" s="253"/>
    </row>
    <row r="4680" spans="23:23" ht="20.25" customHeight="1">
      <c r="W4680" s="253"/>
    </row>
    <row r="4681" spans="23:23" ht="20.25" customHeight="1">
      <c r="W4681" s="253"/>
    </row>
    <row r="4682" spans="23:23" ht="20.25" customHeight="1">
      <c r="W4682" s="253"/>
    </row>
    <row r="4683" spans="23:23" ht="20.25" customHeight="1">
      <c r="W4683" s="253"/>
    </row>
    <row r="4684" spans="23:23" ht="20.25" customHeight="1">
      <c r="W4684" s="253"/>
    </row>
    <row r="4685" spans="23:23" ht="20.25" customHeight="1">
      <c r="W4685" s="253"/>
    </row>
    <row r="4686" spans="23:23" ht="20.25" customHeight="1">
      <c r="W4686" s="253"/>
    </row>
    <row r="4687" spans="23:23" ht="20.25" customHeight="1">
      <c r="W4687" s="253"/>
    </row>
    <row r="4688" spans="23:23" ht="20.25" customHeight="1">
      <c r="W4688" s="253"/>
    </row>
    <row r="4689" spans="23:23" ht="20.25" customHeight="1">
      <c r="W4689" s="253"/>
    </row>
    <row r="4690" spans="23:23" ht="20.25" customHeight="1">
      <c r="W4690" s="253"/>
    </row>
    <row r="4691" spans="23:23" ht="20.25" customHeight="1">
      <c r="W4691" s="253"/>
    </row>
    <row r="4692" spans="23:23" ht="20.25" customHeight="1">
      <c r="W4692" s="253"/>
    </row>
    <row r="4693" spans="23:23" ht="20.25" customHeight="1">
      <c r="W4693" s="253"/>
    </row>
    <row r="4694" spans="23:23" ht="20.25" customHeight="1">
      <c r="W4694" s="253"/>
    </row>
    <row r="4695" spans="23:23" ht="20.25" customHeight="1">
      <c r="W4695" s="253"/>
    </row>
    <row r="4696" spans="23:23" ht="20.25" customHeight="1">
      <c r="W4696" s="253"/>
    </row>
    <row r="4697" spans="23:23" ht="20.25" customHeight="1">
      <c r="W4697" s="253"/>
    </row>
    <row r="4698" spans="23:23" ht="20.25" customHeight="1">
      <c r="W4698" s="253"/>
    </row>
    <row r="4699" spans="23:23" ht="20.25" customHeight="1">
      <c r="W4699" s="253"/>
    </row>
    <row r="4700" spans="23:23" ht="20.25" customHeight="1">
      <c r="W4700" s="253"/>
    </row>
    <row r="4701" spans="23:23" ht="20.25" customHeight="1">
      <c r="W4701" s="253"/>
    </row>
    <row r="4702" spans="23:23" ht="20.25" customHeight="1">
      <c r="W4702" s="253"/>
    </row>
    <row r="4703" spans="23:23" ht="20.25" customHeight="1">
      <c r="W4703" s="253"/>
    </row>
    <row r="4704" spans="23:23" ht="20.25" customHeight="1">
      <c r="W4704" s="253"/>
    </row>
    <row r="4705" spans="23:23" ht="20.25" customHeight="1">
      <c r="W4705" s="253"/>
    </row>
    <row r="4706" spans="23:23" ht="20.25" customHeight="1">
      <c r="W4706" s="253"/>
    </row>
    <row r="4707" spans="23:23" ht="20.25" customHeight="1">
      <c r="W4707" s="253"/>
    </row>
    <row r="4708" spans="23:23" ht="20.25" customHeight="1">
      <c r="W4708" s="253"/>
    </row>
    <row r="4709" spans="23:23" ht="20.25" customHeight="1">
      <c r="W4709" s="253"/>
    </row>
    <row r="4710" spans="23:23" ht="20.25" customHeight="1">
      <c r="W4710" s="253"/>
    </row>
    <row r="4711" spans="23:23" ht="20.25" customHeight="1">
      <c r="W4711" s="253"/>
    </row>
    <row r="4712" spans="23:23" ht="20.25" customHeight="1">
      <c r="W4712" s="253"/>
    </row>
    <row r="4713" spans="23:23" ht="20.25" customHeight="1">
      <c r="W4713" s="253"/>
    </row>
    <row r="4714" spans="23:23" ht="20.25" customHeight="1">
      <c r="W4714" s="253"/>
    </row>
    <row r="4715" spans="23:23" ht="20.25" customHeight="1">
      <c r="W4715" s="253"/>
    </row>
    <row r="4716" spans="23:23" ht="20.25" customHeight="1">
      <c r="W4716" s="253"/>
    </row>
    <row r="4717" spans="23:23" ht="20.25" customHeight="1">
      <c r="W4717" s="253"/>
    </row>
    <row r="4718" spans="23:23" ht="20.25" customHeight="1">
      <c r="W4718" s="253"/>
    </row>
    <row r="4719" spans="23:23" ht="20.25" customHeight="1">
      <c r="W4719" s="253"/>
    </row>
    <row r="4720" spans="23:23" ht="20.25" customHeight="1">
      <c r="W4720" s="253"/>
    </row>
    <row r="4721" spans="23:23" ht="20.25" customHeight="1">
      <c r="W4721" s="253"/>
    </row>
    <row r="4722" spans="23:23" ht="20.25" customHeight="1">
      <c r="W4722" s="253"/>
    </row>
    <row r="4723" spans="23:23" ht="20.25" customHeight="1">
      <c r="W4723" s="253"/>
    </row>
    <row r="4724" spans="23:23" ht="20.25" customHeight="1">
      <c r="W4724" s="253"/>
    </row>
    <row r="4725" spans="23:23" ht="20.25" customHeight="1">
      <c r="W4725" s="253"/>
    </row>
    <row r="4726" spans="23:23" ht="20.25" customHeight="1">
      <c r="W4726" s="253"/>
    </row>
    <row r="4727" spans="23:23" ht="20.25" customHeight="1">
      <c r="W4727" s="253"/>
    </row>
    <row r="4728" spans="23:23" ht="20.25" customHeight="1">
      <c r="W4728" s="253"/>
    </row>
    <row r="4729" spans="23:23" ht="20.25" customHeight="1">
      <c r="W4729" s="253"/>
    </row>
    <row r="4730" spans="23:23" ht="20.25" customHeight="1">
      <c r="W4730" s="253"/>
    </row>
    <row r="4731" spans="23:23" ht="20.25" customHeight="1">
      <c r="W4731" s="253"/>
    </row>
    <row r="4732" spans="23:23" ht="20.25" customHeight="1">
      <c r="W4732" s="253"/>
    </row>
    <row r="4733" spans="23:23" ht="20.25" customHeight="1">
      <c r="W4733" s="253"/>
    </row>
    <row r="4734" spans="23:23" ht="20.25" customHeight="1">
      <c r="W4734" s="253"/>
    </row>
    <row r="4735" spans="23:23" ht="20.25" customHeight="1">
      <c r="W4735" s="253"/>
    </row>
    <row r="4736" spans="23:23" ht="20.25" customHeight="1">
      <c r="W4736" s="253"/>
    </row>
    <row r="4737" spans="23:23" ht="20.25" customHeight="1">
      <c r="W4737" s="253"/>
    </row>
    <row r="4738" spans="23:23" ht="20.25" customHeight="1">
      <c r="W4738" s="253"/>
    </row>
    <row r="4739" spans="23:23" ht="20.25" customHeight="1">
      <c r="W4739" s="253"/>
    </row>
    <row r="4740" spans="23:23" ht="20.25" customHeight="1">
      <c r="W4740" s="253"/>
    </row>
    <row r="4741" spans="23:23" ht="20.25" customHeight="1">
      <c r="W4741" s="253"/>
    </row>
    <row r="4742" spans="23:23" ht="20.25" customHeight="1">
      <c r="W4742" s="253"/>
    </row>
    <row r="4743" spans="23:23" ht="20.25" customHeight="1">
      <c r="W4743" s="253"/>
    </row>
    <row r="4744" spans="23:23" ht="20.25" customHeight="1">
      <c r="W4744" s="253"/>
    </row>
    <row r="4745" spans="23:23" ht="20.25" customHeight="1">
      <c r="W4745" s="253"/>
    </row>
    <row r="4746" spans="23:23" ht="20.25" customHeight="1">
      <c r="W4746" s="253"/>
    </row>
    <row r="4747" spans="23:23" ht="20.25" customHeight="1">
      <c r="W4747" s="253"/>
    </row>
    <row r="4748" spans="23:23" ht="20.25" customHeight="1">
      <c r="W4748" s="253"/>
    </row>
    <row r="4749" spans="23:23" ht="20.25" customHeight="1">
      <c r="W4749" s="253"/>
    </row>
    <row r="4750" spans="23:23" ht="20.25" customHeight="1">
      <c r="W4750" s="253"/>
    </row>
    <row r="4751" spans="23:23" ht="20.25" customHeight="1">
      <c r="W4751" s="253"/>
    </row>
    <row r="4752" spans="23:23" ht="20.25" customHeight="1">
      <c r="W4752" s="253"/>
    </row>
    <row r="4753" spans="23:23" ht="20.25" customHeight="1">
      <c r="W4753" s="253"/>
    </row>
    <row r="4754" spans="23:23" ht="20.25" customHeight="1">
      <c r="W4754" s="253"/>
    </row>
    <row r="4755" spans="23:23" ht="20.25" customHeight="1">
      <c r="W4755" s="253"/>
    </row>
    <row r="4756" spans="23:23" ht="20.25" customHeight="1">
      <c r="W4756" s="253"/>
    </row>
    <row r="4757" spans="23:23" ht="20.25" customHeight="1">
      <c r="W4757" s="253"/>
    </row>
    <row r="4758" spans="23:23" ht="20.25" customHeight="1">
      <c r="W4758" s="253"/>
    </row>
    <row r="4759" spans="23:23" ht="20.25" customHeight="1">
      <c r="W4759" s="253"/>
    </row>
    <row r="4760" spans="23:23" ht="20.25" customHeight="1">
      <c r="W4760" s="253"/>
    </row>
    <row r="4761" spans="23:23" ht="20.25" customHeight="1">
      <c r="W4761" s="253"/>
    </row>
    <row r="4762" spans="23:23" ht="20.25" customHeight="1">
      <c r="W4762" s="253"/>
    </row>
    <row r="4763" spans="23:23" ht="20.25" customHeight="1">
      <c r="W4763" s="253"/>
    </row>
    <row r="4764" spans="23:23" ht="20.25" customHeight="1">
      <c r="W4764" s="253"/>
    </row>
    <row r="4765" spans="23:23" ht="20.25" customHeight="1">
      <c r="W4765" s="253"/>
    </row>
    <row r="4766" spans="23:23" ht="20.25" customHeight="1">
      <c r="W4766" s="253"/>
    </row>
    <row r="4767" spans="23:23" ht="20.25" customHeight="1">
      <c r="W4767" s="253"/>
    </row>
    <row r="4768" spans="23:23" ht="20.25" customHeight="1">
      <c r="W4768" s="253"/>
    </row>
    <row r="4769" spans="23:23" ht="20.25" customHeight="1">
      <c r="W4769" s="253"/>
    </row>
    <row r="4770" spans="23:23" ht="20.25" customHeight="1">
      <c r="W4770" s="253"/>
    </row>
    <row r="4771" spans="23:23" ht="20.25" customHeight="1">
      <c r="W4771" s="253"/>
    </row>
    <row r="4772" spans="23:23" ht="20.25" customHeight="1">
      <c r="W4772" s="253"/>
    </row>
    <row r="4773" spans="23:23" ht="20.25" customHeight="1">
      <c r="W4773" s="253"/>
    </row>
    <row r="4774" spans="23:23" ht="20.25" customHeight="1">
      <c r="W4774" s="253"/>
    </row>
    <row r="4775" spans="23:23" ht="20.25" customHeight="1">
      <c r="W4775" s="253"/>
    </row>
    <row r="4776" spans="23:23" ht="20.25" customHeight="1">
      <c r="W4776" s="253"/>
    </row>
    <row r="4777" spans="23:23" ht="20.25" customHeight="1">
      <c r="W4777" s="253"/>
    </row>
    <row r="4778" spans="23:23" ht="20.25" customHeight="1">
      <c r="W4778" s="253"/>
    </row>
    <row r="4779" spans="23:23" ht="20.25" customHeight="1">
      <c r="W4779" s="253"/>
    </row>
    <row r="4780" spans="23:23" ht="20.25" customHeight="1">
      <c r="W4780" s="253"/>
    </row>
    <row r="4781" spans="23:23" ht="20.25" customHeight="1">
      <c r="W4781" s="253"/>
    </row>
    <row r="4782" spans="23:23" ht="20.25" customHeight="1">
      <c r="W4782" s="253"/>
    </row>
    <row r="4783" spans="23:23" ht="20.25" customHeight="1">
      <c r="W4783" s="253"/>
    </row>
    <row r="4784" spans="23:23" ht="20.25" customHeight="1">
      <c r="W4784" s="253"/>
    </row>
    <row r="4785" spans="23:23" ht="20.25" customHeight="1">
      <c r="W4785" s="253"/>
    </row>
    <row r="4786" spans="23:23" ht="20.25" customHeight="1">
      <c r="W4786" s="253"/>
    </row>
    <row r="4787" spans="23:23" ht="20.25" customHeight="1">
      <c r="W4787" s="253"/>
    </row>
    <row r="4788" spans="23:23" ht="20.25" customHeight="1">
      <c r="W4788" s="253"/>
    </row>
    <row r="4789" spans="23:23" ht="20.25" customHeight="1">
      <c r="W4789" s="253"/>
    </row>
    <row r="4790" spans="23:23" ht="20.25" customHeight="1">
      <c r="W4790" s="253"/>
    </row>
    <row r="4791" spans="23:23" ht="20.25" customHeight="1">
      <c r="W4791" s="253"/>
    </row>
    <row r="4792" spans="23:23" ht="20.25" customHeight="1">
      <c r="W4792" s="253"/>
    </row>
    <row r="4793" spans="23:23" ht="20.25" customHeight="1">
      <c r="W4793" s="253"/>
    </row>
    <row r="4794" spans="23:23" ht="20.25" customHeight="1">
      <c r="W4794" s="253"/>
    </row>
    <row r="4795" spans="23:23" ht="20.25" customHeight="1">
      <c r="W4795" s="253"/>
    </row>
    <row r="4796" spans="23:23" ht="20.25" customHeight="1">
      <c r="W4796" s="253"/>
    </row>
    <row r="4797" spans="23:23" ht="20.25" customHeight="1">
      <c r="W4797" s="253"/>
    </row>
    <row r="4798" spans="23:23" ht="20.25" customHeight="1">
      <c r="W4798" s="253"/>
    </row>
    <row r="4799" spans="23:23" ht="20.25" customHeight="1">
      <c r="W4799" s="253"/>
    </row>
    <row r="4800" spans="23:23" ht="20.25" customHeight="1">
      <c r="W4800" s="253"/>
    </row>
    <row r="4801" spans="23:23" ht="20.25" customHeight="1">
      <c r="W4801" s="253"/>
    </row>
    <row r="4802" spans="23:23" ht="20.25" customHeight="1">
      <c r="W4802" s="253"/>
    </row>
    <row r="4803" spans="23:23" ht="20.25" customHeight="1">
      <c r="W4803" s="253"/>
    </row>
    <row r="4804" spans="23:23" ht="20.25" customHeight="1">
      <c r="W4804" s="253"/>
    </row>
    <row r="4805" spans="23:23" ht="20.25" customHeight="1">
      <c r="W4805" s="253"/>
    </row>
    <row r="4806" spans="23:23" ht="20.25" customHeight="1">
      <c r="W4806" s="253"/>
    </row>
    <row r="4807" spans="23:23" ht="20.25" customHeight="1">
      <c r="W4807" s="253"/>
    </row>
    <row r="4808" spans="23:23" ht="20.25" customHeight="1">
      <c r="W4808" s="253"/>
    </row>
    <row r="4809" spans="23:23" ht="20.25" customHeight="1">
      <c r="W4809" s="253"/>
    </row>
    <row r="4810" spans="23:23" ht="20.25" customHeight="1">
      <c r="W4810" s="253"/>
    </row>
    <row r="4811" spans="23:23" ht="20.25" customHeight="1">
      <c r="W4811" s="253"/>
    </row>
    <row r="4812" spans="23:23" ht="20.25" customHeight="1">
      <c r="W4812" s="253"/>
    </row>
    <row r="4813" spans="23:23" ht="20.25" customHeight="1">
      <c r="W4813" s="253"/>
    </row>
    <row r="4814" spans="23:23" ht="20.25" customHeight="1">
      <c r="W4814" s="253"/>
    </row>
    <row r="4815" spans="23:23" ht="20.25" customHeight="1">
      <c r="W4815" s="253"/>
    </row>
    <row r="4816" spans="23:23" ht="20.25" customHeight="1">
      <c r="W4816" s="253"/>
    </row>
    <row r="4817" spans="23:23" ht="20.25" customHeight="1">
      <c r="W4817" s="253"/>
    </row>
    <row r="4818" spans="23:23" ht="20.25" customHeight="1">
      <c r="W4818" s="253"/>
    </row>
    <row r="4819" spans="23:23" ht="20.25" customHeight="1">
      <c r="W4819" s="253"/>
    </row>
    <row r="4820" spans="23:23" ht="20.25" customHeight="1">
      <c r="W4820" s="253"/>
    </row>
    <row r="4821" spans="23:23" ht="20.25" customHeight="1">
      <c r="W4821" s="253"/>
    </row>
    <row r="4822" spans="23:23" ht="20.25" customHeight="1">
      <c r="W4822" s="253"/>
    </row>
    <row r="4823" spans="23:23" ht="20.25" customHeight="1">
      <c r="W4823" s="253"/>
    </row>
    <row r="4824" spans="23:23" ht="20.25" customHeight="1">
      <c r="W4824" s="253"/>
    </row>
    <row r="4825" spans="23:23" ht="20.25" customHeight="1">
      <c r="W4825" s="253"/>
    </row>
    <row r="4826" spans="23:23" ht="20.25" customHeight="1">
      <c r="W4826" s="253"/>
    </row>
    <row r="4827" spans="23:23" ht="20.25" customHeight="1">
      <c r="W4827" s="253"/>
    </row>
    <row r="4828" spans="23:23" ht="20.25" customHeight="1">
      <c r="W4828" s="253"/>
    </row>
    <row r="4829" spans="23:23" ht="20.25" customHeight="1">
      <c r="W4829" s="253"/>
    </row>
    <row r="4830" spans="23:23" ht="20.25" customHeight="1">
      <c r="W4830" s="253"/>
    </row>
    <row r="4831" spans="23:23" ht="20.25" customHeight="1">
      <c r="W4831" s="253"/>
    </row>
    <row r="4832" spans="23:23" ht="20.25" customHeight="1">
      <c r="W4832" s="253"/>
    </row>
    <row r="4833" spans="23:23" ht="20.25" customHeight="1">
      <c r="W4833" s="253"/>
    </row>
    <row r="4834" spans="23:23" ht="20.25" customHeight="1">
      <c r="W4834" s="253"/>
    </row>
    <row r="4835" spans="23:23" ht="20.25" customHeight="1">
      <c r="W4835" s="253"/>
    </row>
    <row r="4836" spans="23:23" ht="20.25" customHeight="1">
      <c r="W4836" s="253"/>
    </row>
    <row r="4837" spans="23:23" ht="20.25" customHeight="1">
      <c r="W4837" s="253"/>
    </row>
    <row r="4838" spans="23:23" ht="20.25" customHeight="1">
      <c r="W4838" s="253"/>
    </row>
    <row r="4839" spans="23:23" ht="20.25" customHeight="1">
      <c r="W4839" s="253"/>
    </row>
    <row r="4840" spans="23:23" ht="20.25" customHeight="1">
      <c r="W4840" s="253"/>
    </row>
    <row r="4841" spans="23:23" ht="20.25" customHeight="1">
      <c r="W4841" s="253"/>
    </row>
    <row r="4842" spans="23:23" ht="20.25" customHeight="1">
      <c r="W4842" s="253"/>
    </row>
    <row r="4843" spans="23:23" ht="20.25" customHeight="1">
      <c r="W4843" s="253"/>
    </row>
    <row r="4844" spans="23:23" ht="20.25" customHeight="1">
      <c r="W4844" s="253"/>
    </row>
    <row r="4845" spans="23:23" ht="20.25" customHeight="1">
      <c r="W4845" s="253"/>
    </row>
    <row r="4846" spans="23:23" ht="20.25" customHeight="1">
      <c r="W4846" s="253"/>
    </row>
    <row r="4847" spans="23:23" ht="20.25" customHeight="1">
      <c r="W4847" s="253"/>
    </row>
    <row r="4848" spans="23:23" ht="20.25" customHeight="1">
      <c r="W4848" s="253"/>
    </row>
    <row r="4849" spans="23:23" ht="20.25" customHeight="1">
      <c r="W4849" s="253"/>
    </row>
    <row r="4850" spans="23:23" ht="20.25" customHeight="1">
      <c r="W4850" s="253"/>
    </row>
    <row r="4851" spans="23:23" ht="20.25" customHeight="1">
      <c r="W4851" s="253"/>
    </row>
    <row r="4852" spans="23:23" ht="20.25" customHeight="1">
      <c r="W4852" s="253"/>
    </row>
    <row r="4853" spans="23:23" ht="20.25" customHeight="1">
      <c r="W4853" s="253"/>
    </row>
    <row r="4854" spans="23:23" ht="20.25" customHeight="1">
      <c r="W4854" s="253"/>
    </row>
    <row r="4855" spans="23:23" ht="20.25" customHeight="1">
      <c r="W4855" s="253"/>
    </row>
    <row r="4856" spans="23:23" ht="20.25" customHeight="1">
      <c r="W4856" s="253"/>
    </row>
    <row r="4857" spans="23:23" ht="20.25" customHeight="1">
      <c r="W4857" s="253"/>
    </row>
    <row r="4858" spans="23:23" ht="20.25" customHeight="1">
      <c r="W4858" s="253"/>
    </row>
    <row r="4859" spans="23:23" ht="20.25" customHeight="1">
      <c r="W4859" s="253"/>
    </row>
    <row r="4860" spans="23:23" ht="20.25" customHeight="1">
      <c r="W4860" s="253"/>
    </row>
    <row r="4861" spans="23:23" ht="20.25" customHeight="1">
      <c r="W4861" s="253"/>
    </row>
    <row r="4862" spans="23:23" ht="20.25" customHeight="1">
      <c r="W4862" s="253"/>
    </row>
    <row r="4863" spans="23:23" ht="20.25" customHeight="1">
      <c r="W4863" s="253"/>
    </row>
    <row r="4864" spans="23:23" ht="20.25" customHeight="1">
      <c r="W4864" s="253"/>
    </row>
    <row r="4865" spans="23:23" ht="20.25" customHeight="1">
      <c r="W4865" s="253"/>
    </row>
    <row r="4866" spans="23:23" ht="20.25" customHeight="1">
      <c r="W4866" s="253"/>
    </row>
    <row r="4867" spans="23:23" ht="20.25" customHeight="1">
      <c r="W4867" s="253"/>
    </row>
    <row r="4868" spans="23:23" ht="20.25" customHeight="1">
      <c r="W4868" s="253"/>
    </row>
    <row r="4869" spans="23:23" ht="20.25" customHeight="1">
      <c r="W4869" s="253"/>
    </row>
    <row r="4870" spans="23:23" ht="20.25" customHeight="1">
      <c r="W4870" s="253"/>
    </row>
    <row r="4871" spans="23:23" ht="20.25" customHeight="1">
      <c r="W4871" s="253"/>
    </row>
    <row r="4872" spans="23:23" ht="20.25" customHeight="1">
      <c r="W4872" s="253"/>
    </row>
    <row r="4873" spans="23:23" ht="20.25" customHeight="1">
      <c r="W4873" s="253"/>
    </row>
    <row r="4874" spans="23:23" ht="20.25" customHeight="1">
      <c r="W4874" s="253"/>
    </row>
    <row r="4875" spans="23:23" ht="20.25" customHeight="1">
      <c r="W4875" s="253"/>
    </row>
    <row r="4876" spans="23:23" ht="20.25" customHeight="1">
      <c r="W4876" s="253"/>
    </row>
    <row r="4877" spans="23:23" ht="20.25" customHeight="1">
      <c r="W4877" s="253"/>
    </row>
    <row r="4878" spans="23:23" ht="20.25" customHeight="1">
      <c r="W4878" s="253"/>
    </row>
    <row r="4879" spans="23:23" ht="20.25" customHeight="1">
      <c r="W4879" s="253"/>
    </row>
    <row r="4880" spans="23:23" ht="20.25" customHeight="1">
      <c r="W4880" s="253"/>
    </row>
    <row r="4881" spans="23:23" ht="20.25" customHeight="1">
      <c r="W4881" s="253"/>
    </row>
    <row r="4882" spans="23:23" ht="20.25" customHeight="1">
      <c r="W4882" s="253"/>
    </row>
    <row r="4883" spans="23:23" ht="20.25" customHeight="1">
      <c r="W4883" s="253"/>
    </row>
    <row r="4884" spans="23:23" ht="20.25" customHeight="1">
      <c r="W4884" s="253"/>
    </row>
    <row r="4885" spans="23:23" ht="20.25" customHeight="1">
      <c r="W4885" s="253"/>
    </row>
    <row r="4886" spans="23:23" ht="20.25" customHeight="1">
      <c r="W4886" s="253"/>
    </row>
    <row r="4887" spans="23:23" ht="20.25" customHeight="1">
      <c r="W4887" s="253"/>
    </row>
    <row r="4888" spans="23:23" ht="20.25" customHeight="1">
      <c r="W4888" s="253"/>
    </row>
    <row r="4889" spans="23:23" ht="20.25" customHeight="1">
      <c r="W4889" s="253"/>
    </row>
    <row r="4890" spans="23:23" ht="20.25" customHeight="1">
      <c r="W4890" s="253"/>
    </row>
    <row r="4891" spans="23:23" ht="20.25" customHeight="1">
      <c r="W4891" s="253"/>
    </row>
    <row r="4892" spans="23:23" ht="20.25" customHeight="1">
      <c r="W4892" s="253"/>
    </row>
    <row r="4893" spans="23:23" ht="20.25" customHeight="1">
      <c r="W4893" s="253"/>
    </row>
    <row r="4894" spans="23:23" ht="20.25" customHeight="1">
      <c r="W4894" s="253"/>
    </row>
    <row r="4895" spans="23:23" ht="20.25" customHeight="1">
      <c r="W4895" s="253"/>
    </row>
    <row r="4896" spans="23:23" ht="20.25" customHeight="1">
      <c r="W4896" s="253"/>
    </row>
    <row r="4897" spans="23:23" ht="20.25" customHeight="1">
      <c r="W4897" s="253"/>
    </row>
    <row r="4898" spans="23:23" ht="20.25" customHeight="1">
      <c r="W4898" s="253"/>
    </row>
    <row r="4899" spans="23:23" ht="20.25" customHeight="1">
      <c r="W4899" s="253"/>
    </row>
    <row r="4900" spans="23:23" ht="20.25" customHeight="1">
      <c r="W4900" s="253"/>
    </row>
    <row r="4901" spans="23:23" ht="20.25" customHeight="1">
      <c r="W4901" s="253"/>
    </row>
    <row r="4902" spans="23:23" ht="20.25" customHeight="1">
      <c r="W4902" s="253"/>
    </row>
    <row r="4903" spans="23:23" ht="20.25" customHeight="1">
      <c r="W4903" s="253"/>
    </row>
    <row r="4904" spans="23:23" ht="20.25" customHeight="1">
      <c r="W4904" s="253"/>
    </row>
    <row r="4905" spans="23:23" ht="20.25" customHeight="1">
      <c r="W4905" s="253"/>
    </row>
    <row r="4906" spans="23:23" ht="20.25" customHeight="1">
      <c r="W4906" s="253"/>
    </row>
    <row r="4907" spans="23:23" ht="20.25" customHeight="1">
      <c r="W4907" s="253"/>
    </row>
    <row r="4908" spans="23:23" ht="20.25" customHeight="1">
      <c r="W4908" s="253"/>
    </row>
    <row r="4909" spans="23:23" ht="20.25" customHeight="1">
      <c r="W4909" s="253"/>
    </row>
    <row r="4910" spans="23:23" ht="20.25" customHeight="1">
      <c r="W4910" s="253"/>
    </row>
    <row r="4911" spans="23:23" ht="20.25" customHeight="1">
      <c r="W4911" s="253"/>
    </row>
    <row r="4912" spans="23:23" ht="20.25" customHeight="1">
      <c r="W4912" s="253"/>
    </row>
    <row r="4913" spans="23:23" ht="20.25" customHeight="1">
      <c r="W4913" s="253"/>
    </row>
    <row r="4914" spans="23:23" ht="20.25" customHeight="1">
      <c r="W4914" s="253"/>
    </row>
    <row r="4915" spans="23:23" ht="20.25" customHeight="1">
      <c r="W4915" s="253"/>
    </row>
    <row r="4916" spans="23:23" ht="20.25" customHeight="1">
      <c r="W4916" s="253"/>
    </row>
    <row r="4917" spans="23:23" ht="20.25" customHeight="1">
      <c r="W4917" s="253"/>
    </row>
    <row r="4918" spans="23:23" ht="20.25" customHeight="1">
      <c r="W4918" s="253"/>
    </row>
    <row r="4919" spans="23:23" ht="20.25" customHeight="1">
      <c r="W4919" s="253"/>
    </row>
    <row r="4920" spans="23:23" ht="20.25" customHeight="1">
      <c r="W4920" s="253"/>
    </row>
    <row r="4921" spans="23:23" ht="20.25" customHeight="1">
      <c r="W4921" s="253"/>
    </row>
    <row r="4922" spans="23:23" ht="20.25" customHeight="1">
      <c r="W4922" s="253"/>
    </row>
    <row r="4923" spans="23:23" ht="20.25" customHeight="1">
      <c r="W4923" s="253"/>
    </row>
    <row r="4924" spans="23:23" ht="20.25" customHeight="1">
      <c r="W4924" s="253"/>
    </row>
    <row r="4925" spans="23:23" ht="20.25" customHeight="1">
      <c r="W4925" s="253"/>
    </row>
    <row r="4926" spans="23:23" ht="20.25" customHeight="1">
      <c r="W4926" s="253"/>
    </row>
    <row r="4927" spans="23:23" ht="20.25" customHeight="1">
      <c r="W4927" s="253"/>
    </row>
    <row r="4928" spans="23:23" ht="20.25" customHeight="1">
      <c r="W4928" s="253"/>
    </row>
    <row r="4929" spans="23:23" ht="20.25" customHeight="1">
      <c r="W4929" s="253"/>
    </row>
    <row r="4930" spans="23:23" ht="20.25" customHeight="1">
      <c r="W4930" s="253"/>
    </row>
    <row r="4931" spans="23:23" ht="20.25" customHeight="1">
      <c r="W4931" s="253"/>
    </row>
    <row r="4932" spans="23:23" ht="20.25" customHeight="1">
      <c r="W4932" s="253"/>
    </row>
    <row r="4933" spans="23:23" ht="20.25" customHeight="1">
      <c r="W4933" s="253"/>
    </row>
    <row r="4934" spans="23:23" ht="20.25" customHeight="1">
      <c r="W4934" s="253"/>
    </row>
    <row r="4935" spans="23:23" ht="20.25" customHeight="1">
      <c r="W4935" s="253"/>
    </row>
    <row r="4936" spans="23:23" ht="20.25" customHeight="1">
      <c r="W4936" s="253"/>
    </row>
    <row r="4937" spans="23:23" ht="20.25" customHeight="1">
      <c r="W4937" s="253"/>
    </row>
    <row r="4938" spans="23:23" ht="20.25" customHeight="1">
      <c r="W4938" s="253"/>
    </row>
    <row r="4939" spans="23:23" ht="20.25" customHeight="1">
      <c r="W4939" s="253"/>
    </row>
    <row r="4940" spans="23:23" ht="20.25" customHeight="1">
      <c r="W4940" s="253"/>
    </row>
    <row r="4941" spans="23:23" ht="20.25" customHeight="1">
      <c r="W4941" s="253"/>
    </row>
    <row r="4942" spans="23:23" ht="20.25" customHeight="1">
      <c r="W4942" s="253"/>
    </row>
    <row r="4943" spans="23:23" ht="20.25" customHeight="1">
      <c r="W4943" s="253"/>
    </row>
    <row r="4944" spans="23:23" ht="20.25" customHeight="1">
      <c r="W4944" s="253"/>
    </row>
    <row r="4945" spans="23:23" ht="20.25" customHeight="1">
      <c r="W4945" s="253"/>
    </row>
    <row r="4946" spans="23:23" ht="20.25" customHeight="1">
      <c r="W4946" s="253"/>
    </row>
    <row r="4947" spans="23:23" ht="20.25" customHeight="1">
      <c r="W4947" s="253"/>
    </row>
    <row r="4948" spans="23:23" ht="20.25" customHeight="1">
      <c r="W4948" s="253"/>
    </row>
    <row r="4949" spans="23:23" ht="20.25" customHeight="1">
      <c r="W4949" s="253"/>
    </row>
    <row r="4950" spans="23:23" ht="20.25" customHeight="1">
      <c r="W4950" s="253"/>
    </row>
    <row r="4951" spans="23:23" ht="20.25" customHeight="1">
      <c r="W4951" s="253"/>
    </row>
    <row r="4952" spans="23:23" ht="20.25" customHeight="1">
      <c r="W4952" s="253"/>
    </row>
    <row r="4953" spans="23:23" ht="20.25" customHeight="1">
      <c r="W4953" s="253"/>
    </row>
    <row r="4954" spans="23:23" ht="20.25" customHeight="1">
      <c r="W4954" s="253"/>
    </row>
    <row r="4955" spans="23:23" ht="20.25" customHeight="1">
      <c r="W4955" s="253"/>
    </row>
    <row r="4956" spans="23:23" ht="20.25" customHeight="1">
      <c r="W4956" s="253"/>
    </row>
    <row r="4957" spans="23:23" ht="20.25" customHeight="1">
      <c r="W4957" s="253"/>
    </row>
    <row r="4958" spans="23:23" ht="20.25" customHeight="1">
      <c r="W4958" s="253"/>
    </row>
    <row r="4959" spans="23:23" ht="20.25" customHeight="1">
      <c r="W4959" s="253"/>
    </row>
    <row r="4960" spans="23:23" ht="20.25" customHeight="1">
      <c r="W4960" s="253"/>
    </row>
    <row r="4961" spans="23:23" ht="20.25" customHeight="1">
      <c r="W4961" s="253"/>
    </row>
    <row r="4962" spans="23:23" ht="20.25" customHeight="1">
      <c r="W4962" s="253"/>
    </row>
    <row r="4963" spans="23:23" ht="20.25" customHeight="1">
      <c r="W4963" s="253"/>
    </row>
    <row r="4964" spans="23:23" ht="20.25" customHeight="1">
      <c r="W4964" s="253"/>
    </row>
    <row r="4965" spans="23:23" ht="20.25" customHeight="1">
      <c r="W4965" s="253"/>
    </row>
    <row r="4966" spans="23:23" ht="20.25" customHeight="1">
      <c r="W4966" s="253"/>
    </row>
    <row r="4967" spans="23:23" ht="20.25" customHeight="1">
      <c r="W4967" s="253"/>
    </row>
    <row r="4968" spans="23:23" ht="20.25" customHeight="1">
      <c r="W4968" s="253"/>
    </row>
    <row r="4969" spans="23:23" ht="20.25" customHeight="1">
      <c r="W4969" s="253"/>
    </row>
    <row r="4970" spans="23:23" ht="20.25" customHeight="1">
      <c r="W4970" s="253"/>
    </row>
    <row r="4971" spans="23:23" ht="20.25" customHeight="1">
      <c r="W4971" s="253"/>
    </row>
    <row r="4972" spans="23:23" ht="20.25" customHeight="1">
      <c r="W4972" s="253"/>
    </row>
    <row r="4973" spans="23:23" ht="20.25" customHeight="1">
      <c r="W4973" s="253"/>
    </row>
    <row r="4974" spans="23:23" ht="20.25" customHeight="1">
      <c r="W4974" s="253"/>
    </row>
    <row r="4975" spans="23:23" ht="20.25" customHeight="1">
      <c r="W4975" s="253"/>
    </row>
    <row r="4976" spans="23:23" ht="20.25" customHeight="1">
      <c r="W4976" s="253"/>
    </row>
    <row r="4977" spans="23:23" ht="20.25" customHeight="1">
      <c r="W4977" s="253"/>
    </row>
    <row r="4978" spans="23:23" ht="20.25" customHeight="1">
      <c r="W4978" s="253"/>
    </row>
    <row r="4979" spans="23:23" ht="20.25" customHeight="1">
      <c r="W4979" s="253"/>
    </row>
    <row r="4980" spans="23:23" ht="20.25" customHeight="1">
      <c r="W4980" s="253"/>
    </row>
    <row r="4981" spans="23:23" ht="20.25" customHeight="1">
      <c r="W4981" s="253"/>
    </row>
    <row r="4982" spans="23:23" ht="20.25" customHeight="1">
      <c r="W4982" s="253"/>
    </row>
    <row r="4983" spans="23:23" ht="20.25" customHeight="1">
      <c r="W4983" s="253"/>
    </row>
    <row r="4984" spans="23:23" ht="20.25" customHeight="1">
      <c r="W4984" s="253"/>
    </row>
    <row r="4985" spans="23:23" ht="20.25" customHeight="1">
      <c r="W4985" s="253"/>
    </row>
    <row r="4986" spans="23:23" ht="20.25" customHeight="1">
      <c r="W4986" s="253"/>
    </row>
    <row r="4987" spans="23:23" ht="20.25" customHeight="1">
      <c r="W4987" s="253"/>
    </row>
    <row r="4988" spans="23:23" ht="20.25" customHeight="1">
      <c r="W4988" s="253"/>
    </row>
    <row r="4989" spans="23:23" ht="20.25" customHeight="1">
      <c r="W4989" s="253"/>
    </row>
    <row r="4990" spans="23:23" ht="20.25" customHeight="1">
      <c r="W4990" s="253"/>
    </row>
    <row r="4991" spans="23:23" ht="20.25" customHeight="1">
      <c r="W4991" s="253"/>
    </row>
    <row r="4992" spans="23:23" ht="20.25" customHeight="1">
      <c r="W4992" s="253"/>
    </row>
    <row r="4993" spans="23:23" ht="20.25" customHeight="1">
      <c r="W4993" s="253"/>
    </row>
    <row r="4994" spans="23:23" ht="20.25" customHeight="1">
      <c r="W4994" s="253"/>
    </row>
    <row r="4995" spans="23:23" ht="20.25" customHeight="1">
      <c r="W4995" s="253"/>
    </row>
    <row r="4996" spans="23:23" ht="20.25" customHeight="1">
      <c r="W4996" s="253"/>
    </row>
    <row r="4997" spans="23:23" ht="20.25" customHeight="1">
      <c r="W4997" s="253"/>
    </row>
    <row r="4998" spans="23:23" ht="20.25" customHeight="1">
      <c r="W4998" s="253"/>
    </row>
    <row r="4999" spans="23:23" ht="20.25" customHeight="1">
      <c r="W4999" s="253"/>
    </row>
    <row r="5000" spans="23:23" ht="20.25" customHeight="1">
      <c r="W5000" s="253"/>
    </row>
    <row r="5001" spans="23:23" ht="20.25" customHeight="1">
      <c r="W5001" s="253"/>
    </row>
    <row r="5002" spans="23:23" ht="20.25" customHeight="1">
      <c r="W5002" s="253"/>
    </row>
    <row r="5003" spans="23:23" ht="20.25" customHeight="1">
      <c r="W5003" s="253"/>
    </row>
    <row r="5004" spans="23:23" ht="20.25" customHeight="1">
      <c r="W5004" s="253"/>
    </row>
    <row r="5005" spans="23:23" ht="20.25" customHeight="1">
      <c r="W5005" s="253"/>
    </row>
    <row r="5006" spans="23:23" ht="20.25" customHeight="1">
      <c r="W5006" s="253"/>
    </row>
    <row r="5007" spans="23:23" ht="20.25" customHeight="1">
      <c r="W5007" s="253"/>
    </row>
    <row r="5008" spans="23:23" ht="20.25" customHeight="1">
      <c r="W5008" s="253"/>
    </row>
    <row r="5009" spans="23:23" ht="20.25" customHeight="1">
      <c r="W5009" s="253"/>
    </row>
    <row r="5010" spans="23:23" ht="20.25" customHeight="1">
      <c r="W5010" s="253"/>
    </row>
    <row r="5011" spans="23:23" ht="20.25" customHeight="1">
      <c r="W5011" s="253"/>
    </row>
    <row r="5012" spans="23:23" ht="20.25" customHeight="1">
      <c r="W5012" s="253"/>
    </row>
    <row r="5013" spans="23:23" ht="20.25" customHeight="1">
      <c r="W5013" s="253"/>
    </row>
    <row r="5014" spans="23:23" ht="20.25" customHeight="1">
      <c r="W5014" s="253"/>
    </row>
    <row r="5015" spans="23:23" ht="20.25" customHeight="1">
      <c r="W5015" s="253"/>
    </row>
    <row r="5016" spans="23:23" ht="20.25" customHeight="1">
      <c r="W5016" s="253"/>
    </row>
    <row r="5017" spans="23:23" ht="20.25" customHeight="1">
      <c r="W5017" s="253"/>
    </row>
    <row r="5018" spans="23:23" ht="20.25" customHeight="1">
      <c r="W5018" s="253"/>
    </row>
    <row r="5019" spans="23:23" ht="20.25" customHeight="1">
      <c r="W5019" s="253"/>
    </row>
    <row r="5020" spans="23:23" ht="20.25" customHeight="1">
      <c r="W5020" s="253"/>
    </row>
    <row r="5021" spans="23:23" ht="20.25" customHeight="1">
      <c r="W5021" s="253"/>
    </row>
    <row r="5022" spans="23:23" ht="20.25" customHeight="1">
      <c r="W5022" s="253"/>
    </row>
    <row r="5023" spans="23:23" ht="20.25" customHeight="1">
      <c r="W5023" s="253"/>
    </row>
    <row r="5024" spans="23:23" ht="20.25" customHeight="1">
      <c r="W5024" s="253"/>
    </row>
    <row r="5025" spans="23:23" ht="20.25" customHeight="1">
      <c r="W5025" s="253"/>
    </row>
    <row r="5026" spans="23:23" ht="20.25" customHeight="1">
      <c r="W5026" s="253"/>
    </row>
    <row r="5027" spans="23:23" ht="20.25" customHeight="1">
      <c r="W5027" s="253"/>
    </row>
    <row r="5028" spans="23:23" ht="20.25" customHeight="1">
      <c r="W5028" s="253"/>
    </row>
    <row r="5029" spans="23:23" ht="20.25" customHeight="1">
      <c r="W5029" s="253"/>
    </row>
    <row r="5030" spans="23:23" ht="20.25" customHeight="1">
      <c r="W5030" s="253"/>
    </row>
    <row r="5031" spans="23:23" ht="20.25" customHeight="1">
      <c r="W5031" s="253"/>
    </row>
    <row r="5032" spans="23:23" ht="20.25" customHeight="1">
      <c r="W5032" s="253"/>
    </row>
    <row r="5033" spans="23:23" ht="20.25" customHeight="1">
      <c r="W5033" s="253"/>
    </row>
    <row r="5034" spans="23:23" ht="20.25" customHeight="1">
      <c r="W5034" s="253"/>
    </row>
    <row r="5035" spans="23:23" ht="20.25" customHeight="1">
      <c r="W5035" s="253"/>
    </row>
    <row r="5036" spans="23:23" ht="20.25" customHeight="1">
      <c r="W5036" s="253"/>
    </row>
    <row r="5037" spans="23:23" ht="20.25" customHeight="1">
      <c r="W5037" s="253"/>
    </row>
    <row r="5038" spans="23:23" ht="20.25" customHeight="1">
      <c r="W5038" s="253"/>
    </row>
    <row r="5039" spans="23:23" ht="20.25" customHeight="1">
      <c r="W5039" s="253"/>
    </row>
    <row r="5040" spans="23:23" ht="20.25" customHeight="1">
      <c r="W5040" s="253"/>
    </row>
    <row r="5041" spans="23:23" ht="20.25" customHeight="1">
      <c r="W5041" s="253"/>
    </row>
    <row r="5042" spans="23:23" ht="20.25" customHeight="1">
      <c r="W5042" s="253"/>
    </row>
    <row r="5043" spans="23:23" ht="20.25" customHeight="1">
      <c r="W5043" s="253"/>
    </row>
    <row r="5044" spans="23:23" ht="20.25" customHeight="1">
      <c r="W5044" s="253"/>
    </row>
    <row r="5045" spans="23:23" ht="20.25" customHeight="1">
      <c r="W5045" s="253"/>
    </row>
    <row r="5046" spans="23:23" ht="20.25" customHeight="1">
      <c r="W5046" s="253"/>
    </row>
    <row r="5047" spans="23:23" ht="20.25" customHeight="1">
      <c r="W5047" s="253"/>
    </row>
    <row r="5048" spans="23:23" ht="20.25" customHeight="1">
      <c r="W5048" s="253"/>
    </row>
    <row r="5049" spans="23:23" ht="20.25" customHeight="1">
      <c r="W5049" s="253"/>
    </row>
    <row r="5050" spans="23:23" ht="20.25" customHeight="1">
      <c r="W5050" s="253"/>
    </row>
    <row r="5051" spans="23:23" ht="20.25" customHeight="1">
      <c r="W5051" s="253"/>
    </row>
    <row r="5052" spans="23:23" ht="20.25" customHeight="1">
      <c r="W5052" s="253"/>
    </row>
    <row r="5053" spans="23:23" ht="20.25" customHeight="1">
      <c r="W5053" s="253"/>
    </row>
    <row r="5054" spans="23:23" ht="20.25" customHeight="1">
      <c r="W5054" s="253"/>
    </row>
    <row r="5055" spans="23:23" ht="20.25" customHeight="1">
      <c r="W5055" s="253"/>
    </row>
    <row r="5056" spans="23:23" ht="20.25" customHeight="1">
      <c r="W5056" s="253"/>
    </row>
    <row r="5057" spans="23:23" ht="20.25" customHeight="1">
      <c r="W5057" s="253"/>
    </row>
    <row r="5058" spans="23:23" ht="20.25" customHeight="1">
      <c r="W5058" s="253"/>
    </row>
    <row r="5059" spans="23:23" ht="20.25" customHeight="1">
      <c r="W5059" s="253"/>
    </row>
    <row r="5060" spans="23:23" ht="20.25" customHeight="1">
      <c r="W5060" s="253"/>
    </row>
    <row r="5061" spans="23:23" ht="20.25" customHeight="1">
      <c r="W5061" s="253"/>
    </row>
    <row r="5062" spans="23:23" ht="20.25" customHeight="1">
      <c r="W5062" s="253"/>
    </row>
    <row r="5063" spans="23:23" ht="20.25" customHeight="1">
      <c r="W5063" s="253"/>
    </row>
    <row r="5064" spans="23:23" ht="20.25" customHeight="1">
      <c r="W5064" s="253"/>
    </row>
    <row r="5065" spans="23:23" ht="20.25" customHeight="1">
      <c r="W5065" s="253"/>
    </row>
    <row r="5066" spans="23:23" ht="20.25" customHeight="1">
      <c r="W5066" s="253"/>
    </row>
    <row r="5067" spans="23:23" ht="20.25" customHeight="1">
      <c r="W5067" s="253"/>
    </row>
    <row r="5068" spans="23:23" ht="20.25" customHeight="1">
      <c r="W5068" s="253"/>
    </row>
    <row r="5069" spans="23:23" ht="20.25" customHeight="1">
      <c r="W5069" s="253"/>
    </row>
    <row r="5070" spans="23:23" ht="20.25" customHeight="1">
      <c r="W5070" s="253"/>
    </row>
    <row r="5071" spans="23:23" ht="20.25" customHeight="1">
      <c r="W5071" s="253"/>
    </row>
    <row r="5072" spans="23:23" ht="20.25" customHeight="1">
      <c r="W5072" s="253"/>
    </row>
    <row r="5073" spans="23:23" ht="20.25" customHeight="1">
      <c r="W5073" s="253"/>
    </row>
    <row r="5074" spans="23:23" ht="20.25" customHeight="1">
      <c r="W5074" s="253"/>
    </row>
    <row r="5075" spans="23:23" ht="20.25" customHeight="1">
      <c r="W5075" s="253"/>
    </row>
    <row r="5076" spans="23:23" ht="20.25" customHeight="1">
      <c r="W5076" s="253"/>
    </row>
    <row r="5077" spans="23:23" ht="20.25" customHeight="1">
      <c r="W5077" s="253"/>
    </row>
    <row r="5078" spans="23:23" ht="20.25" customHeight="1">
      <c r="W5078" s="253"/>
    </row>
    <row r="5079" spans="23:23" ht="20.25" customHeight="1">
      <c r="W5079" s="253"/>
    </row>
    <row r="5080" spans="23:23" ht="20.25" customHeight="1">
      <c r="W5080" s="253"/>
    </row>
    <row r="5081" spans="23:23" ht="20.25" customHeight="1">
      <c r="W5081" s="253"/>
    </row>
    <row r="5082" spans="23:23" ht="20.25" customHeight="1">
      <c r="W5082" s="253"/>
    </row>
    <row r="5083" spans="23:23" ht="20.25" customHeight="1">
      <c r="W5083" s="253"/>
    </row>
    <row r="5084" spans="23:23" ht="20.25" customHeight="1">
      <c r="W5084" s="253"/>
    </row>
    <row r="5085" spans="23:23" ht="20.25" customHeight="1">
      <c r="W5085" s="253"/>
    </row>
    <row r="5086" spans="23:23" ht="20.25" customHeight="1">
      <c r="W5086" s="253"/>
    </row>
    <row r="5087" spans="23:23" ht="20.25" customHeight="1">
      <c r="W5087" s="253"/>
    </row>
    <row r="5088" spans="23:23" ht="20.25" customHeight="1">
      <c r="W5088" s="253"/>
    </row>
    <row r="5089" spans="23:23" ht="20.25" customHeight="1">
      <c r="W5089" s="253"/>
    </row>
    <row r="5090" spans="23:23" ht="20.25" customHeight="1">
      <c r="W5090" s="253"/>
    </row>
    <row r="5091" spans="23:23" ht="20.25" customHeight="1">
      <c r="W5091" s="253"/>
    </row>
    <row r="5092" spans="23:23" ht="20.25" customHeight="1">
      <c r="W5092" s="253"/>
    </row>
    <row r="5093" spans="23:23" ht="20.25" customHeight="1">
      <c r="W5093" s="253"/>
    </row>
    <row r="5094" spans="23:23" ht="20.25" customHeight="1">
      <c r="W5094" s="253"/>
    </row>
    <row r="5095" spans="23:23" ht="20.25" customHeight="1">
      <c r="W5095" s="253"/>
    </row>
    <row r="5096" spans="23:23" ht="20.25" customHeight="1">
      <c r="W5096" s="253"/>
    </row>
    <row r="5097" spans="23:23" ht="20.25" customHeight="1">
      <c r="W5097" s="253"/>
    </row>
    <row r="5098" spans="23:23" ht="20.25" customHeight="1">
      <c r="W5098" s="253"/>
    </row>
    <row r="5099" spans="23:23" ht="20.25" customHeight="1">
      <c r="W5099" s="253"/>
    </row>
    <row r="5100" spans="23:23" ht="20.25" customHeight="1">
      <c r="W5100" s="253"/>
    </row>
    <row r="5101" spans="23:23" ht="20.25" customHeight="1">
      <c r="W5101" s="253"/>
    </row>
    <row r="5102" spans="23:23" ht="20.25" customHeight="1">
      <c r="W5102" s="253"/>
    </row>
    <row r="5103" spans="23:23" ht="20.25" customHeight="1">
      <c r="W5103" s="253"/>
    </row>
    <row r="5104" spans="23:23" ht="20.25" customHeight="1">
      <c r="W5104" s="253"/>
    </row>
    <row r="5105" spans="23:23" ht="20.25" customHeight="1">
      <c r="W5105" s="253"/>
    </row>
    <row r="5106" spans="23:23" ht="20.25" customHeight="1">
      <c r="W5106" s="253"/>
    </row>
    <row r="5107" spans="23:23" ht="20.25" customHeight="1">
      <c r="W5107" s="253"/>
    </row>
    <row r="5108" spans="23:23" ht="20.25" customHeight="1">
      <c r="W5108" s="253"/>
    </row>
    <row r="5109" spans="23:23" ht="20.25" customHeight="1">
      <c r="W5109" s="253"/>
    </row>
    <row r="5110" spans="23:23" ht="20.25" customHeight="1">
      <c r="W5110" s="253"/>
    </row>
    <row r="5111" spans="23:23" ht="20.25" customHeight="1">
      <c r="W5111" s="253"/>
    </row>
    <row r="5112" spans="23:23" ht="20.25" customHeight="1">
      <c r="W5112" s="253"/>
    </row>
    <row r="5113" spans="23:23" ht="20.25" customHeight="1">
      <c r="W5113" s="253"/>
    </row>
    <row r="5114" spans="23:23" ht="20.25" customHeight="1">
      <c r="W5114" s="253"/>
    </row>
    <row r="5115" spans="23:23" ht="20.25" customHeight="1">
      <c r="W5115" s="253"/>
    </row>
    <row r="5116" spans="23:23" ht="20.25" customHeight="1">
      <c r="W5116" s="253"/>
    </row>
    <row r="5117" spans="23:23" ht="20.25" customHeight="1">
      <c r="W5117" s="253"/>
    </row>
    <row r="5118" spans="23:23" ht="20.25" customHeight="1">
      <c r="W5118" s="253"/>
    </row>
    <row r="5119" spans="23:23" ht="20.25" customHeight="1">
      <c r="W5119" s="253"/>
    </row>
    <row r="5120" spans="23:23" ht="20.25" customHeight="1">
      <c r="W5120" s="253"/>
    </row>
    <row r="5121" spans="23:23" ht="20.25" customHeight="1">
      <c r="W5121" s="253"/>
    </row>
    <row r="5122" spans="23:23" ht="20.25" customHeight="1">
      <c r="W5122" s="253"/>
    </row>
    <row r="5123" spans="23:23" ht="20.25" customHeight="1">
      <c r="W5123" s="253"/>
    </row>
    <row r="5124" spans="23:23" ht="20.25" customHeight="1">
      <c r="W5124" s="253"/>
    </row>
    <row r="5125" spans="23:23" ht="20.25" customHeight="1">
      <c r="W5125" s="253"/>
    </row>
    <row r="5126" spans="23:23" ht="20.25" customHeight="1">
      <c r="W5126" s="253"/>
    </row>
    <row r="5127" spans="23:23" ht="20.25" customHeight="1">
      <c r="W5127" s="253"/>
    </row>
    <row r="5128" spans="23:23" ht="20.25" customHeight="1">
      <c r="W5128" s="253"/>
    </row>
    <row r="5129" spans="23:23" ht="20.25" customHeight="1">
      <c r="W5129" s="253"/>
    </row>
    <row r="5130" spans="23:23" ht="20.25" customHeight="1">
      <c r="W5130" s="253"/>
    </row>
    <row r="5131" spans="23:23" ht="20.25" customHeight="1">
      <c r="W5131" s="253"/>
    </row>
    <row r="5132" spans="23:23" ht="20.25" customHeight="1">
      <c r="W5132" s="253"/>
    </row>
    <row r="5133" spans="23:23" ht="20.25" customHeight="1">
      <c r="W5133" s="253"/>
    </row>
    <row r="5134" spans="23:23" ht="20.25" customHeight="1">
      <c r="W5134" s="253"/>
    </row>
    <row r="5135" spans="23:23" ht="20.25" customHeight="1">
      <c r="W5135" s="253"/>
    </row>
    <row r="5136" spans="23:23" ht="20.25" customHeight="1">
      <c r="W5136" s="253"/>
    </row>
    <row r="5137" spans="23:23" ht="20.25" customHeight="1">
      <c r="W5137" s="253"/>
    </row>
    <row r="5138" spans="23:23" ht="20.25" customHeight="1">
      <c r="W5138" s="253"/>
    </row>
    <row r="5139" spans="23:23" ht="20.25" customHeight="1">
      <c r="W5139" s="253"/>
    </row>
    <row r="5140" spans="23:23" ht="20.25" customHeight="1">
      <c r="W5140" s="253"/>
    </row>
    <row r="5141" spans="23:23" ht="20.25" customHeight="1">
      <c r="W5141" s="253"/>
    </row>
    <row r="5142" spans="23:23" ht="20.25" customHeight="1">
      <c r="W5142" s="253"/>
    </row>
    <row r="5143" spans="23:23" ht="20.25" customHeight="1">
      <c r="W5143" s="253"/>
    </row>
    <row r="5144" spans="23:23" ht="20.25" customHeight="1">
      <c r="W5144" s="253"/>
    </row>
    <row r="5145" spans="23:23" ht="20.25" customHeight="1">
      <c r="W5145" s="253"/>
    </row>
    <row r="5146" spans="23:23" ht="20.25" customHeight="1">
      <c r="W5146" s="253"/>
    </row>
    <row r="5147" spans="23:23" ht="20.25" customHeight="1">
      <c r="W5147" s="253"/>
    </row>
    <row r="5148" spans="23:23" ht="20.25" customHeight="1">
      <c r="W5148" s="253"/>
    </row>
    <row r="5149" spans="23:23" ht="20.25" customHeight="1">
      <c r="W5149" s="253"/>
    </row>
    <row r="5150" spans="23:23" ht="20.25" customHeight="1">
      <c r="W5150" s="253"/>
    </row>
    <row r="5151" spans="23:23" ht="20.25" customHeight="1">
      <c r="W5151" s="253"/>
    </row>
    <row r="5152" spans="23:23" ht="20.25" customHeight="1">
      <c r="W5152" s="253"/>
    </row>
    <row r="5153" spans="23:23" ht="20.25" customHeight="1">
      <c r="W5153" s="253"/>
    </row>
    <row r="5154" spans="23:23" ht="20.25" customHeight="1">
      <c r="W5154" s="253"/>
    </row>
    <row r="5155" spans="23:23" ht="20.25" customHeight="1">
      <c r="W5155" s="253"/>
    </row>
    <row r="5156" spans="23:23" ht="20.25" customHeight="1">
      <c r="W5156" s="253"/>
    </row>
    <row r="5157" spans="23:23" ht="20.25" customHeight="1">
      <c r="W5157" s="253"/>
    </row>
    <row r="5158" spans="23:23" ht="20.25" customHeight="1">
      <c r="W5158" s="253"/>
    </row>
    <row r="5159" spans="23:23" ht="20.25" customHeight="1">
      <c r="W5159" s="253"/>
    </row>
    <row r="5160" spans="23:23" ht="20.25" customHeight="1">
      <c r="W5160" s="253"/>
    </row>
    <row r="5161" spans="23:23" ht="20.25" customHeight="1">
      <c r="W5161" s="253"/>
    </row>
    <row r="5162" spans="23:23" ht="20.25" customHeight="1">
      <c r="W5162" s="253"/>
    </row>
    <row r="5163" spans="23:23" ht="20.25" customHeight="1">
      <c r="W5163" s="253"/>
    </row>
    <row r="5164" spans="23:23" ht="20.25" customHeight="1">
      <c r="W5164" s="253"/>
    </row>
    <row r="5165" spans="23:23" ht="20.25" customHeight="1">
      <c r="W5165" s="253"/>
    </row>
    <row r="5166" spans="23:23" ht="20.25" customHeight="1">
      <c r="W5166" s="253"/>
    </row>
    <row r="5167" spans="23:23" ht="20.25" customHeight="1">
      <c r="W5167" s="253"/>
    </row>
    <row r="5168" spans="23:23" ht="20.25" customHeight="1">
      <c r="W5168" s="253"/>
    </row>
    <row r="5169" spans="23:23" ht="20.25" customHeight="1">
      <c r="W5169" s="253"/>
    </row>
    <row r="5170" spans="23:23" ht="20.25" customHeight="1">
      <c r="W5170" s="253"/>
    </row>
    <row r="5171" spans="23:23" ht="20.25" customHeight="1">
      <c r="W5171" s="253"/>
    </row>
    <row r="5172" spans="23:23" ht="20.25" customHeight="1">
      <c r="W5172" s="253"/>
    </row>
    <row r="5173" spans="23:23" ht="20.25" customHeight="1">
      <c r="W5173" s="253"/>
    </row>
    <row r="5174" spans="23:23" ht="20.25" customHeight="1">
      <c r="W5174" s="253"/>
    </row>
    <row r="5175" spans="23:23" ht="20.25" customHeight="1">
      <c r="W5175" s="253"/>
    </row>
    <row r="5176" spans="23:23" ht="20.25" customHeight="1">
      <c r="W5176" s="253"/>
    </row>
    <row r="5177" spans="23:23" ht="20.25" customHeight="1">
      <c r="W5177" s="253"/>
    </row>
    <row r="5178" spans="23:23" ht="20.25" customHeight="1">
      <c r="W5178" s="253"/>
    </row>
    <row r="5179" spans="23:23" ht="20.25" customHeight="1">
      <c r="W5179" s="253"/>
    </row>
    <row r="5180" spans="23:23" ht="20.25" customHeight="1">
      <c r="W5180" s="253"/>
    </row>
    <row r="5181" spans="23:23" ht="20.25" customHeight="1">
      <c r="W5181" s="253"/>
    </row>
    <row r="5182" spans="23:23" ht="20.25" customHeight="1">
      <c r="W5182" s="253"/>
    </row>
    <row r="5183" spans="23:23" ht="20.25" customHeight="1">
      <c r="W5183" s="253"/>
    </row>
    <row r="5184" spans="23:23" ht="20.25" customHeight="1">
      <c r="W5184" s="253"/>
    </row>
    <row r="5185" spans="23:23" ht="20.25" customHeight="1">
      <c r="W5185" s="253"/>
    </row>
    <row r="5186" spans="23:23" ht="20.25" customHeight="1">
      <c r="W5186" s="253"/>
    </row>
    <row r="5187" spans="23:23" ht="20.25" customHeight="1">
      <c r="W5187" s="253"/>
    </row>
    <row r="5188" spans="23:23" ht="20.25" customHeight="1">
      <c r="W5188" s="253"/>
    </row>
    <row r="5189" spans="23:23" ht="20.25" customHeight="1">
      <c r="W5189" s="253"/>
    </row>
    <row r="5190" spans="23:23" ht="20.25" customHeight="1">
      <c r="W5190" s="253"/>
    </row>
    <row r="5191" spans="23:23" ht="20.25" customHeight="1">
      <c r="W5191" s="253"/>
    </row>
    <row r="5192" spans="23:23" ht="20.25" customHeight="1">
      <c r="W5192" s="253"/>
    </row>
    <row r="5193" spans="23:23" ht="20.25" customHeight="1">
      <c r="W5193" s="253"/>
    </row>
    <row r="5194" spans="23:23" ht="20.25" customHeight="1">
      <c r="W5194" s="253"/>
    </row>
    <row r="5195" spans="23:23" ht="20.25" customHeight="1">
      <c r="W5195" s="253"/>
    </row>
    <row r="5196" spans="23:23" ht="20.25" customHeight="1">
      <c r="W5196" s="253"/>
    </row>
    <row r="5197" spans="23:23" ht="20.25" customHeight="1">
      <c r="W5197" s="253"/>
    </row>
    <row r="5198" spans="23:23" ht="20.25" customHeight="1">
      <c r="W5198" s="253"/>
    </row>
    <row r="5199" spans="23:23" ht="20.25" customHeight="1">
      <c r="W5199" s="253"/>
    </row>
    <row r="5200" spans="23:23" ht="20.25" customHeight="1">
      <c r="W5200" s="253"/>
    </row>
    <row r="5201" spans="23:23" ht="20.25" customHeight="1">
      <c r="W5201" s="253"/>
    </row>
    <row r="5202" spans="23:23" ht="20.25" customHeight="1">
      <c r="W5202" s="253"/>
    </row>
    <row r="5203" spans="23:23" ht="20.25" customHeight="1">
      <c r="W5203" s="253"/>
    </row>
    <row r="5204" spans="23:23" ht="20.25" customHeight="1">
      <c r="W5204" s="253"/>
    </row>
    <row r="5205" spans="23:23" ht="20.25" customHeight="1">
      <c r="W5205" s="253"/>
    </row>
    <row r="5206" spans="23:23" ht="20.25" customHeight="1">
      <c r="W5206" s="253"/>
    </row>
    <row r="5207" spans="23:23" ht="20.25" customHeight="1">
      <c r="W5207" s="253"/>
    </row>
    <row r="5208" spans="23:23" ht="20.25" customHeight="1">
      <c r="W5208" s="253"/>
    </row>
    <row r="5209" spans="23:23" ht="20.25" customHeight="1">
      <c r="W5209" s="253"/>
    </row>
    <row r="5210" spans="23:23" ht="20.25" customHeight="1">
      <c r="W5210" s="253"/>
    </row>
    <row r="5211" spans="23:23" ht="20.25" customHeight="1">
      <c r="W5211" s="253"/>
    </row>
    <row r="5212" spans="23:23" ht="20.25" customHeight="1">
      <c r="W5212" s="253"/>
    </row>
    <row r="5213" spans="23:23" ht="20.25" customHeight="1">
      <c r="W5213" s="253"/>
    </row>
    <row r="5214" spans="23:23" ht="20.25" customHeight="1">
      <c r="W5214" s="253"/>
    </row>
    <row r="5215" spans="23:23" ht="20.25" customHeight="1">
      <c r="W5215" s="253"/>
    </row>
    <row r="5216" spans="23:23" ht="20.25" customHeight="1">
      <c r="W5216" s="253"/>
    </row>
    <row r="5217" spans="23:23" ht="20.25" customHeight="1">
      <c r="W5217" s="253"/>
    </row>
    <row r="5218" spans="23:23" ht="20.25" customHeight="1">
      <c r="W5218" s="253"/>
    </row>
    <row r="5219" spans="23:23" ht="20.25" customHeight="1">
      <c r="W5219" s="253"/>
    </row>
    <row r="5220" spans="23:23" ht="20.25" customHeight="1">
      <c r="W5220" s="253"/>
    </row>
    <row r="5221" spans="23:23" ht="20.25" customHeight="1">
      <c r="W5221" s="253"/>
    </row>
    <row r="5222" spans="23:23" ht="20.25" customHeight="1">
      <c r="W5222" s="253"/>
    </row>
    <row r="5223" spans="23:23" ht="20.25" customHeight="1">
      <c r="W5223" s="253"/>
    </row>
    <row r="5224" spans="23:23" ht="20.25" customHeight="1">
      <c r="W5224" s="253"/>
    </row>
    <row r="5225" spans="23:23" ht="20.25" customHeight="1">
      <c r="W5225" s="253"/>
    </row>
    <row r="5226" spans="23:23" ht="20.25" customHeight="1">
      <c r="W5226" s="253"/>
    </row>
    <row r="5227" spans="23:23" ht="20.25" customHeight="1">
      <c r="W5227" s="253"/>
    </row>
    <row r="5228" spans="23:23" ht="20.25" customHeight="1">
      <c r="W5228" s="253"/>
    </row>
    <row r="5229" spans="23:23" ht="20.25" customHeight="1">
      <c r="W5229" s="253"/>
    </row>
    <row r="5230" spans="23:23" ht="20.25" customHeight="1">
      <c r="W5230" s="253"/>
    </row>
    <row r="5231" spans="23:23" ht="20.25" customHeight="1">
      <c r="W5231" s="253"/>
    </row>
    <row r="5232" spans="23:23" ht="20.25" customHeight="1">
      <c r="W5232" s="253"/>
    </row>
    <row r="5233" spans="23:23" ht="20.25" customHeight="1">
      <c r="W5233" s="253"/>
    </row>
    <row r="5234" spans="23:23" ht="20.25" customHeight="1">
      <c r="W5234" s="253"/>
    </row>
    <row r="5235" spans="23:23" ht="20.25" customHeight="1">
      <c r="W5235" s="253"/>
    </row>
    <row r="5236" spans="23:23" ht="20.25" customHeight="1">
      <c r="W5236" s="253"/>
    </row>
    <row r="5237" spans="23:23" ht="20.25" customHeight="1">
      <c r="W5237" s="253"/>
    </row>
    <row r="5238" spans="23:23" ht="20.25" customHeight="1">
      <c r="W5238" s="253"/>
    </row>
    <row r="5239" spans="23:23" ht="20.25" customHeight="1">
      <c r="W5239" s="253"/>
    </row>
    <row r="5240" spans="23:23" ht="20.25" customHeight="1">
      <c r="W5240" s="253"/>
    </row>
    <row r="5241" spans="23:23" ht="20.25" customHeight="1">
      <c r="W5241" s="253"/>
    </row>
    <row r="5242" spans="23:23" ht="20.25" customHeight="1">
      <c r="W5242" s="253"/>
    </row>
    <row r="5243" spans="23:23" ht="20.25" customHeight="1">
      <c r="W5243" s="253"/>
    </row>
    <row r="5244" spans="23:23" ht="20.25" customHeight="1">
      <c r="W5244" s="253"/>
    </row>
    <row r="5245" spans="23:23" ht="20.25" customHeight="1">
      <c r="W5245" s="253"/>
    </row>
    <row r="5246" spans="23:23" ht="20.25" customHeight="1">
      <c r="W5246" s="253"/>
    </row>
    <row r="5247" spans="23:23" ht="20.25" customHeight="1">
      <c r="W5247" s="253"/>
    </row>
    <row r="5248" spans="23:23" ht="20.25" customHeight="1">
      <c r="W5248" s="253"/>
    </row>
    <row r="5249" spans="23:23" ht="20.25" customHeight="1">
      <c r="W5249" s="253"/>
    </row>
    <row r="5250" spans="23:23" ht="20.25" customHeight="1">
      <c r="W5250" s="253"/>
    </row>
    <row r="5251" spans="23:23" ht="20.25" customHeight="1">
      <c r="W5251" s="253"/>
    </row>
    <row r="5252" spans="23:23" ht="20.25" customHeight="1">
      <c r="W5252" s="253"/>
    </row>
    <row r="5253" spans="23:23" ht="20.25" customHeight="1">
      <c r="W5253" s="253"/>
    </row>
    <row r="5254" spans="23:23" ht="20.25" customHeight="1">
      <c r="W5254" s="253"/>
    </row>
    <row r="5255" spans="23:23" ht="20.25" customHeight="1">
      <c r="W5255" s="253"/>
    </row>
    <row r="5256" spans="23:23" ht="20.25" customHeight="1">
      <c r="W5256" s="253"/>
    </row>
    <row r="5257" spans="23:23" ht="20.25" customHeight="1">
      <c r="W5257" s="253"/>
    </row>
    <row r="5258" spans="23:23" ht="20.25" customHeight="1">
      <c r="W5258" s="253"/>
    </row>
    <row r="5259" spans="23:23" ht="20.25" customHeight="1">
      <c r="W5259" s="253"/>
    </row>
    <row r="5260" spans="23:23" ht="20.25" customHeight="1">
      <c r="W5260" s="253"/>
    </row>
    <row r="5261" spans="23:23" ht="20.25" customHeight="1">
      <c r="W5261" s="253"/>
    </row>
    <row r="5262" spans="23:23" ht="20.25" customHeight="1">
      <c r="W5262" s="253"/>
    </row>
    <row r="5263" spans="23:23" ht="20.25" customHeight="1">
      <c r="W5263" s="253"/>
    </row>
    <row r="5264" spans="23:23" ht="20.25" customHeight="1">
      <c r="W5264" s="253"/>
    </row>
    <row r="5265" spans="23:23" ht="20.25" customHeight="1">
      <c r="W5265" s="253"/>
    </row>
    <row r="5266" spans="23:23" ht="20.25" customHeight="1">
      <c r="W5266" s="253"/>
    </row>
    <row r="5267" spans="23:23" ht="20.25" customHeight="1">
      <c r="W5267" s="253"/>
    </row>
    <row r="5268" spans="23:23" ht="20.25" customHeight="1">
      <c r="W5268" s="253"/>
    </row>
    <row r="5269" spans="23:23" ht="20.25" customHeight="1">
      <c r="W5269" s="253"/>
    </row>
    <row r="5270" spans="23:23" ht="20.25" customHeight="1">
      <c r="W5270" s="253"/>
    </row>
    <row r="5271" spans="23:23" ht="20.25" customHeight="1">
      <c r="W5271" s="253"/>
    </row>
    <row r="5272" spans="23:23" ht="20.25" customHeight="1">
      <c r="W5272" s="253"/>
    </row>
    <row r="5273" spans="23:23" ht="20.25" customHeight="1">
      <c r="W5273" s="253"/>
    </row>
    <row r="5274" spans="23:23" ht="20.25" customHeight="1">
      <c r="W5274" s="253"/>
    </row>
    <row r="5275" spans="23:23" ht="20.25" customHeight="1">
      <c r="W5275" s="253"/>
    </row>
    <row r="5276" spans="23:23" ht="20.25" customHeight="1">
      <c r="W5276" s="253"/>
    </row>
    <row r="5277" spans="23:23" ht="20.25" customHeight="1">
      <c r="W5277" s="253"/>
    </row>
    <row r="5278" spans="23:23" ht="20.25" customHeight="1">
      <c r="W5278" s="253"/>
    </row>
    <row r="5279" spans="23:23" ht="20.25" customHeight="1">
      <c r="W5279" s="253"/>
    </row>
    <row r="5280" spans="23:23" ht="20.25" customHeight="1">
      <c r="W5280" s="253"/>
    </row>
    <row r="5281" spans="23:23" ht="20.25" customHeight="1">
      <c r="W5281" s="253"/>
    </row>
    <row r="5282" spans="23:23" ht="20.25" customHeight="1">
      <c r="W5282" s="253"/>
    </row>
    <row r="5283" spans="23:23" ht="20.25" customHeight="1">
      <c r="W5283" s="253"/>
    </row>
    <row r="5284" spans="23:23" ht="20.25" customHeight="1">
      <c r="W5284" s="253"/>
    </row>
    <row r="5285" spans="23:23" ht="20.25" customHeight="1">
      <c r="W5285" s="253"/>
    </row>
    <row r="5286" spans="23:23" ht="20.25" customHeight="1">
      <c r="W5286" s="253"/>
    </row>
    <row r="5287" spans="23:23" ht="20.25" customHeight="1">
      <c r="W5287" s="253"/>
    </row>
    <row r="5288" spans="23:23" ht="20.25" customHeight="1">
      <c r="W5288" s="253"/>
    </row>
    <row r="5289" spans="23:23" ht="20.25" customHeight="1">
      <c r="W5289" s="253"/>
    </row>
    <row r="5290" spans="23:23" ht="20.25" customHeight="1">
      <c r="W5290" s="253"/>
    </row>
    <row r="5291" spans="23:23" ht="20.25" customHeight="1">
      <c r="W5291" s="253"/>
    </row>
    <row r="5292" spans="23:23" ht="20.25" customHeight="1">
      <c r="W5292" s="253"/>
    </row>
    <row r="5293" spans="23:23" ht="20.25" customHeight="1">
      <c r="W5293" s="253"/>
    </row>
    <row r="5294" spans="23:23" ht="20.25" customHeight="1">
      <c r="W5294" s="253"/>
    </row>
    <row r="5295" spans="23:23" ht="20.25" customHeight="1">
      <c r="W5295" s="253"/>
    </row>
    <row r="5296" spans="23:23" ht="20.25" customHeight="1">
      <c r="W5296" s="253"/>
    </row>
    <row r="5297" spans="23:23" ht="20.25" customHeight="1">
      <c r="W5297" s="253"/>
    </row>
    <row r="5298" spans="23:23" ht="20.25" customHeight="1">
      <c r="W5298" s="253"/>
    </row>
    <row r="5299" spans="23:23" ht="20.25" customHeight="1">
      <c r="W5299" s="253"/>
    </row>
    <row r="5300" spans="23:23" ht="20.25" customHeight="1">
      <c r="W5300" s="253"/>
    </row>
    <row r="5301" spans="23:23" ht="20.25" customHeight="1">
      <c r="W5301" s="253"/>
    </row>
    <row r="5302" spans="23:23" ht="20.25" customHeight="1">
      <c r="W5302" s="253"/>
    </row>
    <row r="5303" spans="23:23" ht="20.25" customHeight="1">
      <c r="W5303" s="253"/>
    </row>
    <row r="5304" spans="23:23" ht="20.25" customHeight="1">
      <c r="W5304" s="253"/>
    </row>
    <row r="5305" spans="23:23" ht="20.25" customHeight="1">
      <c r="W5305" s="253"/>
    </row>
    <row r="5306" spans="23:23" ht="20.25" customHeight="1">
      <c r="W5306" s="253"/>
    </row>
    <row r="5307" spans="23:23" ht="20.25" customHeight="1">
      <c r="W5307" s="253"/>
    </row>
    <row r="5308" spans="23:23" ht="20.25" customHeight="1">
      <c r="W5308" s="253"/>
    </row>
    <row r="5309" spans="23:23" ht="20.25" customHeight="1">
      <c r="W5309" s="253"/>
    </row>
    <row r="5310" spans="23:23" ht="20.25" customHeight="1">
      <c r="W5310" s="253"/>
    </row>
    <row r="5311" spans="23:23" ht="20.25" customHeight="1">
      <c r="W5311" s="253"/>
    </row>
    <row r="5312" spans="23:23" ht="20.25" customHeight="1">
      <c r="W5312" s="253"/>
    </row>
    <row r="5313" spans="23:23" ht="20.25" customHeight="1">
      <c r="W5313" s="253"/>
    </row>
    <row r="5314" spans="23:23" ht="20.25" customHeight="1">
      <c r="W5314" s="253"/>
    </row>
    <row r="5315" spans="23:23" ht="20.25" customHeight="1">
      <c r="W5315" s="253"/>
    </row>
    <row r="5316" spans="23:23" ht="20.25" customHeight="1">
      <c r="W5316" s="253"/>
    </row>
    <row r="5317" spans="23:23" ht="20.25" customHeight="1">
      <c r="W5317" s="253"/>
    </row>
    <row r="5318" spans="23:23" ht="20.25" customHeight="1">
      <c r="W5318" s="253"/>
    </row>
    <row r="5319" spans="23:23" ht="20.25" customHeight="1">
      <c r="W5319" s="253"/>
    </row>
    <row r="5320" spans="23:23" ht="20.25" customHeight="1">
      <c r="W5320" s="253"/>
    </row>
    <row r="5321" spans="23:23" ht="20.25" customHeight="1">
      <c r="W5321" s="253"/>
    </row>
    <row r="5322" spans="23:23" ht="20.25" customHeight="1">
      <c r="W5322" s="253"/>
    </row>
    <row r="5323" spans="23:23" ht="20.25" customHeight="1">
      <c r="W5323" s="253"/>
    </row>
    <row r="5324" spans="23:23" ht="20.25" customHeight="1">
      <c r="W5324" s="253"/>
    </row>
    <row r="5325" spans="23:23" ht="20.25" customHeight="1">
      <c r="W5325" s="253"/>
    </row>
    <row r="5326" spans="23:23" ht="20.25" customHeight="1">
      <c r="W5326" s="253"/>
    </row>
    <row r="5327" spans="23:23" ht="20.25" customHeight="1">
      <c r="W5327" s="253"/>
    </row>
    <row r="5328" spans="23:23" ht="20.25" customHeight="1">
      <c r="W5328" s="253"/>
    </row>
    <row r="5329" spans="23:23" ht="20.25" customHeight="1">
      <c r="W5329" s="253"/>
    </row>
    <row r="5330" spans="23:23" ht="20.25" customHeight="1">
      <c r="W5330" s="253"/>
    </row>
    <row r="5331" spans="23:23" ht="20.25" customHeight="1">
      <c r="W5331" s="253"/>
    </row>
    <row r="5332" spans="23:23" ht="20.25" customHeight="1">
      <c r="W5332" s="253"/>
    </row>
    <row r="5333" spans="23:23" ht="20.25" customHeight="1">
      <c r="W5333" s="253"/>
    </row>
    <row r="5334" spans="23:23" ht="20.25" customHeight="1">
      <c r="W5334" s="253"/>
    </row>
    <row r="5335" spans="23:23" ht="20.25" customHeight="1">
      <c r="W5335" s="253"/>
    </row>
    <row r="5336" spans="23:23" ht="20.25" customHeight="1">
      <c r="W5336" s="253"/>
    </row>
    <row r="5337" spans="23:23" ht="20.25" customHeight="1">
      <c r="W5337" s="253"/>
    </row>
    <row r="5338" spans="23:23" ht="20.25" customHeight="1">
      <c r="W5338" s="253"/>
    </row>
    <row r="5339" spans="23:23" ht="20.25" customHeight="1">
      <c r="W5339" s="253"/>
    </row>
    <row r="5340" spans="23:23" ht="20.25" customHeight="1">
      <c r="W5340" s="253"/>
    </row>
    <row r="5341" spans="23:23" ht="20.25" customHeight="1">
      <c r="W5341" s="253"/>
    </row>
    <row r="5342" spans="23:23" ht="20.25" customHeight="1">
      <c r="W5342" s="253"/>
    </row>
    <row r="5343" spans="23:23" ht="20.25" customHeight="1">
      <c r="W5343" s="253"/>
    </row>
    <row r="5344" spans="23:23" ht="20.25" customHeight="1">
      <c r="W5344" s="253"/>
    </row>
    <row r="5345" spans="23:23" ht="20.25" customHeight="1">
      <c r="W5345" s="253"/>
    </row>
    <row r="5346" spans="23:23" ht="20.25" customHeight="1">
      <c r="W5346" s="253"/>
    </row>
    <row r="5347" spans="23:23" ht="20.25" customHeight="1">
      <c r="W5347" s="253"/>
    </row>
    <row r="5348" spans="23:23" ht="20.25" customHeight="1">
      <c r="W5348" s="253"/>
    </row>
    <row r="5349" spans="23:23" ht="20.25" customHeight="1">
      <c r="W5349" s="253"/>
    </row>
    <row r="5350" spans="23:23" ht="20.25" customHeight="1">
      <c r="W5350" s="253"/>
    </row>
    <row r="5351" spans="23:23" ht="20.25" customHeight="1">
      <c r="W5351" s="253"/>
    </row>
    <row r="5352" spans="23:23" ht="20.25" customHeight="1">
      <c r="W5352" s="253"/>
    </row>
    <row r="5353" spans="23:23" ht="20.25" customHeight="1">
      <c r="W5353" s="253"/>
    </row>
    <row r="5354" spans="23:23" ht="20.25" customHeight="1">
      <c r="W5354" s="253"/>
    </row>
    <row r="5355" spans="23:23" ht="20.25" customHeight="1">
      <c r="W5355" s="253"/>
    </row>
    <row r="5356" spans="23:23" ht="20.25" customHeight="1">
      <c r="W5356" s="253"/>
    </row>
    <row r="5357" spans="23:23" ht="20.25" customHeight="1">
      <c r="W5357" s="253"/>
    </row>
    <row r="5358" spans="23:23" ht="20.25" customHeight="1">
      <c r="W5358" s="253"/>
    </row>
    <row r="5359" spans="23:23" ht="20.25" customHeight="1">
      <c r="W5359" s="253"/>
    </row>
    <row r="5360" spans="23:23" ht="20.25" customHeight="1">
      <c r="W5360" s="253"/>
    </row>
    <row r="5361" spans="23:23" ht="20.25" customHeight="1">
      <c r="W5361" s="253"/>
    </row>
    <row r="5362" spans="23:23" ht="20.25" customHeight="1">
      <c r="W5362" s="253"/>
    </row>
    <row r="5363" spans="23:23" ht="20.25" customHeight="1">
      <c r="W5363" s="253"/>
    </row>
    <row r="5364" spans="23:23" ht="20.25" customHeight="1">
      <c r="W5364" s="253"/>
    </row>
    <row r="5365" spans="23:23" ht="20.25" customHeight="1">
      <c r="W5365" s="253"/>
    </row>
    <row r="5366" spans="23:23" ht="20.25" customHeight="1">
      <c r="W5366" s="253"/>
    </row>
    <row r="5367" spans="23:23" ht="20.25" customHeight="1">
      <c r="W5367" s="253"/>
    </row>
    <row r="5368" spans="23:23" ht="20.25" customHeight="1">
      <c r="W5368" s="253"/>
    </row>
    <row r="5369" spans="23:23" ht="20.25" customHeight="1">
      <c r="W5369" s="253"/>
    </row>
    <row r="5370" spans="23:23" ht="20.25" customHeight="1">
      <c r="W5370" s="253"/>
    </row>
    <row r="5371" spans="23:23" ht="20.25" customHeight="1">
      <c r="W5371" s="253"/>
    </row>
    <row r="5372" spans="23:23" ht="20.25" customHeight="1">
      <c r="W5372" s="253"/>
    </row>
    <row r="5373" spans="23:23" ht="20.25" customHeight="1">
      <c r="W5373" s="253"/>
    </row>
    <row r="5374" spans="23:23" ht="20.25" customHeight="1">
      <c r="W5374" s="253"/>
    </row>
    <row r="5375" spans="23:23" ht="20.25" customHeight="1">
      <c r="W5375" s="253"/>
    </row>
    <row r="5376" spans="23:23" ht="20.25" customHeight="1">
      <c r="W5376" s="253"/>
    </row>
    <row r="5377" spans="23:23" ht="20.25" customHeight="1">
      <c r="W5377" s="253"/>
    </row>
    <row r="5378" spans="23:23" ht="20.25" customHeight="1">
      <c r="W5378" s="253"/>
    </row>
    <row r="5379" spans="23:23" ht="20.25" customHeight="1">
      <c r="W5379" s="253"/>
    </row>
    <row r="5380" spans="23:23" ht="20.25" customHeight="1">
      <c r="W5380" s="253"/>
    </row>
    <row r="5381" spans="23:23" ht="20.25" customHeight="1">
      <c r="W5381" s="253"/>
    </row>
    <row r="5382" spans="23:23" ht="20.25" customHeight="1">
      <c r="W5382" s="253"/>
    </row>
    <row r="5383" spans="23:23" ht="20.25" customHeight="1">
      <c r="W5383" s="253"/>
    </row>
    <row r="5384" spans="23:23" ht="20.25" customHeight="1">
      <c r="W5384" s="253"/>
    </row>
    <row r="5385" spans="23:23" ht="20.25" customHeight="1">
      <c r="W5385" s="253"/>
    </row>
    <row r="5386" spans="23:23" ht="20.25" customHeight="1">
      <c r="W5386" s="253"/>
    </row>
    <row r="5387" spans="23:23" ht="20.25" customHeight="1">
      <c r="W5387" s="253"/>
    </row>
    <row r="5388" spans="23:23" ht="20.25" customHeight="1">
      <c r="W5388" s="253"/>
    </row>
    <row r="5389" spans="23:23" ht="20.25" customHeight="1">
      <c r="W5389" s="253"/>
    </row>
    <row r="5390" spans="23:23" ht="20.25" customHeight="1">
      <c r="W5390" s="253"/>
    </row>
    <row r="5391" spans="23:23" ht="20.25" customHeight="1">
      <c r="W5391" s="253"/>
    </row>
    <row r="5392" spans="23:23" ht="20.25" customHeight="1">
      <c r="W5392" s="253"/>
    </row>
    <row r="5393" spans="23:23" ht="20.25" customHeight="1">
      <c r="W5393" s="253"/>
    </row>
    <row r="5394" spans="23:23" ht="20.25" customHeight="1">
      <c r="W5394" s="253"/>
    </row>
    <row r="5395" spans="23:23" ht="20.25" customHeight="1">
      <c r="W5395" s="253"/>
    </row>
    <row r="5396" spans="23:23" ht="20.25" customHeight="1">
      <c r="W5396" s="253"/>
    </row>
    <row r="5397" spans="23:23" ht="20.25" customHeight="1">
      <c r="W5397" s="253"/>
    </row>
    <row r="5398" spans="23:23" ht="20.25" customHeight="1">
      <c r="W5398" s="253"/>
    </row>
    <row r="5399" spans="23:23" ht="20.25" customHeight="1">
      <c r="W5399" s="253"/>
    </row>
    <row r="5400" spans="23:23" ht="20.25" customHeight="1">
      <c r="W5400" s="253"/>
    </row>
    <row r="5401" spans="23:23" ht="20.25" customHeight="1">
      <c r="W5401" s="253"/>
    </row>
    <row r="5402" spans="23:23" ht="20.25" customHeight="1">
      <c r="W5402" s="253"/>
    </row>
    <row r="5403" spans="23:23" ht="20.25" customHeight="1">
      <c r="W5403" s="253"/>
    </row>
    <row r="5404" spans="23:23" ht="20.25" customHeight="1">
      <c r="W5404" s="253"/>
    </row>
    <row r="5405" spans="23:23" ht="20.25" customHeight="1">
      <c r="W5405" s="253"/>
    </row>
    <row r="5406" spans="23:23" ht="20.25" customHeight="1">
      <c r="W5406" s="253"/>
    </row>
    <row r="5407" spans="23:23" ht="20.25" customHeight="1">
      <c r="W5407" s="253"/>
    </row>
    <row r="5408" spans="23:23" ht="20.25" customHeight="1">
      <c r="W5408" s="253"/>
    </row>
    <row r="5409" spans="23:23" ht="20.25" customHeight="1">
      <c r="W5409" s="253"/>
    </row>
    <row r="5410" spans="23:23" ht="20.25" customHeight="1">
      <c r="W5410" s="253"/>
    </row>
    <row r="5411" spans="23:23" ht="20.25" customHeight="1">
      <c r="W5411" s="253"/>
    </row>
    <row r="5412" spans="23:23" ht="20.25" customHeight="1">
      <c r="W5412" s="253"/>
    </row>
    <row r="5413" spans="23:23" ht="20.25" customHeight="1">
      <c r="W5413" s="253"/>
    </row>
    <row r="5414" spans="23:23" ht="20.25" customHeight="1">
      <c r="W5414" s="253"/>
    </row>
    <row r="5415" spans="23:23" ht="20.25" customHeight="1">
      <c r="W5415" s="253"/>
    </row>
    <row r="5416" spans="23:23" ht="20.25" customHeight="1">
      <c r="W5416" s="253"/>
    </row>
    <row r="5417" spans="23:23" ht="20.25" customHeight="1">
      <c r="W5417" s="253"/>
    </row>
    <row r="5418" spans="23:23" ht="20.25" customHeight="1">
      <c r="W5418" s="253"/>
    </row>
    <row r="5419" spans="23:23" ht="20.25" customHeight="1">
      <c r="W5419" s="253"/>
    </row>
    <row r="5420" spans="23:23" ht="20.25" customHeight="1">
      <c r="W5420" s="253"/>
    </row>
    <row r="5421" spans="23:23" ht="20.25" customHeight="1">
      <c r="W5421" s="253"/>
    </row>
    <row r="5422" spans="23:23" ht="20.25" customHeight="1">
      <c r="W5422" s="253"/>
    </row>
    <row r="5423" spans="23:23" ht="20.25" customHeight="1">
      <c r="W5423" s="253"/>
    </row>
    <row r="5424" spans="23:23" ht="20.25" customHeight="1">
      <c r="W5424" s="253"/>
    </row>
    <row r="5425" spans="23:23" ht="20.25" customHeight="1">
      <c r="W5425" s="253"/>
    </row>
    <row r="5426" spans="23:23" ht="20.25" customHeight="1">
      <c r="W5426" s="253"/>
    </row>
    <row r="5427" spans="23:23" ht="20.25" customHeight="1">
      <c r="W5427" s="253"/>
    </row>
    <row r="5428" spans="23:23" ht="20.25" customHeight="1">
      <c r="W5428" s="253"/>
    </row>
    <row r="5429" spans="23:23" ht="20.25" customHeight="1">
      <c r="W5429" s="253"/>
    </row>
    <row r="5430" spans="23:23" ht="20.25" customHeight="1">
      <c r="W5430" s="253"/>
    </row>
    <row r="5431" spans="23:23" ht="20.25" customHeight="1">
      <c r="W5431" s="253"/>
    </row>
    <row r="5432" spans="23:23" ht="20.25" customHeight="1">
      <c r="W5432" s="253"/>
    </row>
    <row r="5433" spans="23:23" ht="20.25" customHeight="1">
      <c r="W5433" s="253"/>
    </row>
    <row r="5434" spans="23:23" ht="20.25" customHeight="1">
      <c r="W5434" s="253"/>
    </row>
    <row r="5435" spans="23:23" ht="20.25" customHeight="1">
      <c r="W5435" s="253"/>
    </row>
    <row r="5436" spans="23:23" ht="20.25" customHeight="1">
      <c r="W5436" s="253"/>
    </row>
    <row r="5437" spans="23:23" ht="20.25" customHeight="1">
      <c r="W5437" s="253"/>
    </row>
    <row r="5438" spans="23:23" ht="20.25" customHeight="1">
      <c r="W5438" s="253"/>
    </row>
    <row r="5439" spans="23:23" ht="20.25" customHeight="1">
      <c r="W5439" s="253"/>
    </row>
    <row r="5440" spans="23:23" ht="20.25" customHeight="1">
      <c r="W5440" s="253"/>
    </row>
    <row r="5441" spans="23:23" ht="20.25" customHeight="1">
      <c r="W5441" s="253"/>
    </row>
    <row r="5442" spans="23:23" ht="20.25" customHeight="1">
      <c r="W5442" s="253"/>
    </row>
    <row r="5443" spans="23:23" ht="20.25" customHeight="1">
      <c r="W5443" s="253"/>
    </row>
    <row r="5444" spans="23:23" ht="20.25" customHeight="1">
      <c r="W5444" s="253"/>
    </row>
    <row r="5445" spans="23:23" ht="20.25" customHeight="1">
      <c r="W5445" s="253"/>
    </row>
    <row r="5446" spans="23:23" ht="20.25" customHeight="1">
      <c r="W5446" s="253"/>
    </row>
    <row r="5447" spans="23:23" ht="20.25" customHeight="1">
      <c r="W5447" s="253"/>
    </row>
    <row r="5448" spans="23:23" ht="20.25" customHeight="1">
      <c r="W5448" s="253"/>
    </row>
    <row r="5449" spans="23:23" ht="20.25" customHeight="1">
      <c r="W5449" s="253"/>
    </row>
    <row r="5450" spans="23:23" ht="20.25" customHeight="1">
      <c r="W5450" s="253"/>
    </row>
    <row r="5451" spans="23:23" ht="20.25" customHeight="1">
      <c r="W5451" s="253"/>
    </row>
    <row r="5452" spans="23:23" ht="20.25" customHeight="1">
      <c r="W5452" s="253"/>
    </row>
    <row r="5453" spans="23:23" ht="20.25" customHeight="1">
      <c r="W5453" s="253"/>
    </row>
    <row r="5454" spans="23:23" ht="20.25" customHeight="1">
      <c r="W5454" s="253"/>
    </row>
    <row r="5455" spans="23:23" ht="20.25" customHeight="1">
      <c r="W5455" s="253"/>
    </row>
    <row r="5456" spans="23:23" ht="20.25" customHeight="1">
      <c r="W5456" s="253"/>
    </row>
    <row r="5457" spans="23:23" ht="20.25" customHeight="1">
      <c r="W5457" s="253"/>
    </row>
    <row r="5458" spans="23:23" ht="20.25" customHeight="1">
      <c r="W5458" s="253"/>
    </row>
    <row r="5459" spans="23:23" ht="20.25" customHeight="1">
      <c r="W5459" s="253"/>
    </row>
    <row r="5460" spans="23:23" ht="20.25" customHeight="1">
      <c r="W5460" s="253"/>
    </row>
    <row r="5461" spans="23:23" ht="20.25" customHeight="1">
      <c r="W5461" s="253"/>
    </row>
    <row r="5462" spans="23:23" ht="20.25" customHeight="1">
      <c r="W5462" s="253"/>
    </row>
    <row r="5463" spans="23:23" ht="20.25" customHeight="1">
      <c r="W5463" s="253"/>
    </row>
    <row r="5464" spans="23:23" ht="20.25" customHeight="1">
      <c r="W5464" s="253"/>
    </row>
    <row r="5465" spans="23:23" ht="20.25" customHeight="1">
      <c r="W5465" s="253"/>
    </row>
    <row r="5466" spans="23:23" ht="20.25" customHeight="1">
      <c r="W5466" s="253"/>
    </row>
    <row r="5467" spans="23:23" ht="20.25" customHeight="1">
      <c r="W5467" s="253"/>
    </row>
    <row r="5468" spans="23:23" ht="20.25" customHeight="1">
      <c r="W5468" s="253"/>
    </row>
    <row r="5469" spans="23:23" ht="20.25" customHeight="1">
      <c r="W5469" s="253"/>
    </row>
    <row r="5470" spans="23:23" ht="20.25" customHeight="1">
      <c r="W5470" s="253"/>
    </row>
    <row r="5471" spans="23:23" ht="20.25" customHeight="1">
      <c r="W5471" s="253"/>
    </row>
    <row r="5472" spans="23:23" ht="20.25" customHeight="1">
      <c r="W5472" s="253"/>
    </row>
    <row r="5473" spans="23:23" ht="20.25" customHeight="1">
      <c r="W5473" s="253"/>
    </row>
    <row r="5474" spans="23:23" ht="20.25" customHeight="1">
      <c r="W5474" s="253"/>
    </row>
    <row r="5475" spans="23:23" ht="20.25" customHeight="1">
      <c r="W5475" s="253"/>
    </row>
    <row r="5476" spans="23:23" ht="20.25" customHeight="1">
      <c r="W5476" s="253"/>
    </row>
    <row r="5477" spans="23:23" ht="20.25" customHeight="1">
      <c r="W5477" s="253"/>
    </row>
    <row r="5478" spans="23:23" ht="20.25" customHeight="1">
      <c r="W5478" s="253"/>
    </row>
    <row r="5479" spans="23:23" ht="20.25" customHeight="1">
      <c r="W5479" s="253"/>
    </row>
    <row r="5480" spans="23:23" ht="20.25" customHeight="1">
      <c r="W5480" s="253"/>
    </row>
    <row r="5481" spans="23:23" ht="20.25" customHeight="1">
      <c r="W5481" s="253"/>
    </row>
    <row r="5482" spans="23:23" ht="20.25" customHeight="1">
      <c r="W5482" s="253"/>
    </row>
    <row r="5483" spans="23:23" ht="20.25" customHeight="1">
      <c r="W5483" s="253"/>
    </row>
    <row r="5484" spans="23:23" ht="20.25" customHeight="1">
      <c r="W5484" s="253"/>
    </row>
    <row r="5485" spans="23:23" ht="20.25" customHeight="1">
      <c r="W5485" s="253"/>
    </row>
    <row r="5486" spans="23:23" ht="20.25" customHeight="1">
      <c r="W5486" s="253"/>
    </row>
    <row r="5487" spans="23:23" ht="20.25" customHeight="1">
      <c r="W5487" s="253"/>
    </row>
    <row r="5488" spans="23:23" ht="20.25" customHeight="1">
      <c r="W5488" s="253"/>
    </row>
    <row r="5489" spans="23:23" ht="20.25" customHeight="1">
      <c r="W5489" s="253"/>
    </row>
    <row r="5490" spans="23:23" ht="20.25" customHeight="1">
      <c r="W5490" s="253"/>
    </row>
    <row r="5491" spans="23:23" ht="20.25" customHeight="1">
      <c r="W5491" s="253"/>
    </row>
    <row r="5492" spans="23:23" ht="20.25" customHeight="1">
      <c r="W5492" s="253"/>
    </row>
    <row r="5493" spans="23:23" ht="20.25" customHeight="1">
      <c r="W5493" s="253"/>
    </row>
    <row r="5494" spans="23:23" ht="20.25" customHeight="1">
      <c r="W5494" s="253"/>
    </row>
    <row r="5495" spans="23:23" ht="20.25" customHeight="1">
      <c r="W5495" s="253"/>
    </row>
    <row r="5496" spans="23:23" ht="20.25" customHeight="1">
      <c r="W5496" s="253"/>
    </row>
    <row r="5497" spans="23:23" ht="20.25" customHeight="1">
      <c r="W5497" s="253"/>
    </row>
    <row r="5498" spans="23:23" ht="20.25" customHeight="1">
      <c r="W5498" s="253"/>
    </row>
    <row r="5499" spans="23:23" ht="20.25" customHeight="1">
      <c r="W5499" s="253"/>
    </row>
    <row r="5500" spans="23:23" ht="20.25" customHeight="1">
      <c r="W5500" s="253"/>
    </row>
    <row r="5501" spans="23:23" ht="20.25" customHeight="1">
      <c r="W5501" s="253"/>
    </row>
    <row r="5502" spans="23:23" ht="20.25" customHeight="1">
      <c r="W5502" s="253"/>
    </row>
    <row r="5503" spans="23:23" ht="20.25" customHeight="1">
      <c r="W5503" s="253"/>
    </row>
    <row r="5504" spans="23:23" ht="20.25" customHeight="1">
      <c r="W5504" s="253"/>
    </row>
    <row r="5505" spans="23:23" ht="20.25" customHeight="1">
      <c r="W5505" s="253"/>
    </row>
    <row r="5506" spans="23:23" ht="20.25" customHeight="1">
      <c r="W5506" s="253"/>
    </row>
    <row r="5507" spans="23:23" ht="20.25" customHeight="1">
      <c r="W5507" s="253"/>
    </row>
    <row r="5508" spans="23:23" ht="20.25" customHeight="1">
      <c r="W5508" s="253"/>
    </row>
    <row r="5509" spans="23:23" ht="20.25" customHeight="1">
      <c r="W5509" s="253"/>
    </row>
    <row r="5510" spans="23:23" ht="20.25" customHeight="1">
      <c r="W5510" s="253"/>
    </row>
    <row r="5511" spans="23:23" ht="20.25" customHeight="1">
      <c r="W5511" s="253"/>
    </row>
    <row r="5512" spans="23:23" ht="20.25" customHeight="1">
      <c r="W5512" s="253"/>
    </row>
    <row r="5513" spans="23:23" ht="20.25" customHeight="1">
      <c r="W5513" s="253"/>
    </row>
    <row r="5514" spans="23:23" ht="20.25" customHeight="1">
      <c r="W5514" s="253"/>
    </row>
    <row r="5515" spans="23:23" ht="20.25" customHeight="1">
      <c r="W5515" s="253"/>
    </row>
    <row r="5516" spans="23:23" ht="20.25" customHeight="1">
      <c r="W5516" s="253"/>
    </row>
    <row r="5517" spans="23:23" ht="20.25" customHeight="1">
      <c r="W5517" s="253"/>
    </row>
    <row r="5518" spans="23:23" ht="20.25" customHeight="1">
      <c r="W5518" s="253"/>
    </row>
    <row r="5519" spans="23:23" ht="20.25" customHeight="1">
      <c r="W5519" s="253"/>
    </row>
    <row r="5520" spans="23:23" ht="20.25" customHeight="1">
      <c r="W5520" s="253"/>
    </row>
    <row r="5521" spans="23:23" ht="20.25" customHeight="1">
      <c r="W5521" s="253"/>
    </row>
    <row r="5522" spans="23:23" ht="20.25" customHeight="1">
      <c r="W5522" s="253"/>
    </row>
    <row r="5523" spans="23:23" ht="20.25" customHeight="1">
      <c r="W5523" s="253"/>
    </row>
    <row r="5524" spans="23:23" ht="20.25" customHeight="1">
      <c r="W5524" s="253"/>
    </row>
    <row r="5525" spans="23:23" ht="20.25" customHeight="1">
      <c r="W5525" s="253"/>
    </row>
    <row r="5526" spans="23:23" ht="20.25" customHeight="1">
      <c r="W5526" s="253"/>
    </row>
    <row r="5527" spans="23:23" ht="20.25" customHeight="1">
      <c r="W5527" s="253"/>
    </row>
    <row r="5528" spans="23:23" ht="20.25" customHeight="1">
      <c r="W5528" s="253"/>
    </row>
    <row r="5529" spans="23:23" ht="20.25" customHeight="1">
      <c r="W5529" s="253"/>
    </row>
    <row r="5530" spans="23:23" ht="20.25" customHeight="1">
      <c r="W5530" s="253"/>
    </row>
    <row r="5531" spans="23:23" ht="20.25" customHeight="1">
      <c r="W5531" s="253"/>
    </row>
    <row r="5532" spans="23:23" ht="20.25" customHeight="1">
      <c r="W5532" s="253"/>
    </row>
    <row r="5533" spans="23:23" ht="20.25" customHeight="1">
      <c r="W5533" s="253"/>
    </row>
    <row r="5534" spans="23:23" ht="20.25" customHeight="1">
      <c r="W5534" s="253"/>
    </row>
    <row r="5535" spans="23:23" ht="20.25" customHeight="1">
      <c r="W5535" s="253"/>
    </row>
    <row r="5536" spans="23:23" ht="20.25" customHeight="1">
      <c r="W5536" s="253"/>
    </row>
    <row r="5537" spans="23:23" ht="20.25" customHeight="1">
      <c r="W5537" s="253"/>
    </row>
    <row r="5538" spans="23:23" ht="20.25" customHeight="1">
      <c r="W5538" s="253"/>
    </row>
    <row r="5539" spans="23:23" ht="20.25" customHeight="1">
      <c r="W5539" s="253"/>
    </row>
    <row r="5540" spans="23:23" ht="20.25" customHeight="1">
      <c r="W5540" s="253"/>
    </row>
    <row r="5541" spans="23:23" ht="20.25" customHeight="1">
      <c r="W5541" s="253"/>
    </row>
    <row r="5542" spans="23:23" ht="20.25" customHeight="1">
      <c r="W5542" s="253"/>
    </row>
    <row r="5543" spans="23:23" ht="20.25" customHeight="1">
      <c r="W5543" s="253"/>
    </row>
    <row r="5544" spans="23:23" ht="20.25" customHeight="1">
      <c r="W5544" s="253"/>
    </row>
    <row r="5545" spans="23:23" ht="20.25" customHeight="1">
      <c r="W5545" s="253"/>
    </row>
    <row r="5546" spans="23:23" ht="20.25" customHeight="1">
      <c r="W5546" s="253"/>
    </row>
    <row r="5547" spans="23:23" ht="20.25" customHeight="1">
      <c r="W5547" s="253"/>
    </row>
    <row r="5548" spans="23:23" ht="20.25" customHeight="1">
      <c r="W5548" s="253"/>
    </row>
    <row r="5549" spans="23:23" ht="20.25" customHeight="1">
      <c r="W5549" s="253"/>
    </row>
    <row r="5550" spans="23:23" ht="20.25" customHeight="1">
      <c r="W5550" s="253"/>
    </row>
    <row r="5551" spans="23:23" ht="20.25" customHeight="1">
      <c r="W5551" s="253"/>
    </row>
    <row r="5552" spans="23:23" ht="20.25" customHeight="1">
      <c r="W5552" s="253"/>
    </row>
    <row r="5553" spans="23:23" ht="20.25" customHeight="1">
      <c r="W5553" s="253"/>
    </row>
    <row r="5554" spans="23:23" ht="20.25" customHeight="1">
      <c r="W5554" s="253"/>
    </row>
    <row r="5555" spans="23:23" ht="20.25" customHeight="1">
      <c r="W5555" s="253"/>
    </row>
    <row r="5556" spans="23:23" ht="20.25" customHeight="1">
      <c r="W5556" s="253"/>
    </row>
    <row r="5557" spans="23:23" ht="20.25" customHeight="1">
      <c r="W5557" s="253"/>
    </row>
    <row r="5558" spans="23:23" ht="20.25" customHeight="1">
      <c r="W5558" s="253"/>
    </row>
    <row r="5559" spans="23:23" ht="20.25" customHeight="1">
      <c r="W5559" s="253"/>
    </row>
    <row r="5560" spans="23:23" ht="20.25" customHeight="1">
      <c r="W5560" s="253"/>
    </row>
    <row r="5561" spans="23:23" ht="20.25" customHeight="1">
      <c r="W5561" s="253"/>
    </row>
    <row r="5562" spans="23:23" ht="20.25" customHeight="1">
      <c r="W5562" s="253"/>
    </row>
    <row r="5563" spans="23:23" ht="20.25" customHeight="1">
      <c r="W5563" s="253"/>
    </row>
    <row r="5564" spans="23:23" ht="20.25" customHeight="1">
      <c r="W5564" s="253"/>
    </row>
    <row r="5565" spans="23:23" ht="20.25" customHeight="1">
      <c r="W5565" s="253"/>
    </row>
    <row r="5566" spans="23:23" ht="20.25" customHeight="1">
      <c r="W5566" s="253"/>
    </row>
    <row r="5567" spans="23:23" ht="20.25" customHeight="1">
      <c r="W5567" s="253"/>
    </row>
    <row r="5568" spans="23:23" ht="20.25" customHeight="1">
      <c r="W5568" s="253"/>
    </row>
    <row r="5569" spans="23:23" ht="20.25" customHeight="1">
      <c r="W5569" s="253"/>
    </row>
    <row r="5570" spans="23:23" ht="20.25" customHeight="1">
      <c r="W5570" s="253"/>
    </row>
    <row r="5571" spans="23:23" ht="20.25" customHeight="1">
      <c r="W5571" s="253"/>
    </row>
    <row r="5572" spans="23:23" ht="20.25" customHeight="1">
      <c r="W5572" s="253"/>
    </row>
    <row r="5573" spans="23:23" ht="20.25" customHeight="1">
      <c r="W5573" s="253"/>
    </row>
    <row r="5574" spans="23:23" ht="20.25" customHeight="1">
      <c r="W5574" s="253"/>
    </row>
    <row r="5575" spans="23:23" ht="20.25" customHeight="1">
      <c r="W5575" s="253"/>
    </row>
    <row r="5576" spans="23:23" ht="20.25" customHeight="1">
      <c r="W5576" s="253"/>
    </row>
    <row r="5577" spans="23:23" ht="20.25" customHeight="1">
      <c r="W5577" s="253"/>
    </row>
    <row r="5578" spans="23:23" ht="20.25" customHeight="1">
      <c r="W5578" s="253"/>
    </row>
    <row r="5579" spans="23:23" ht="20.25" customHeight="1">
      <c r="W5579" s="253"/>
    </row>
    <row r="5580" spans="23:23" ht="20.25" customHeight="1">
      <c r="W5580" s="253"/>
    </row>
    <row r="5581" spans="23:23" ht="20.25" customHeight="1">
      <c r="W5581" s="253"/>
    </row>
    <row r="5582" spans="23:23" ht="20.25" customHeight="1">
      <c r="W5582" s="253"/>
    </row>
    <row r="5583" spans="23:23" ht="20.25" customHeight="1">
      <c r="W5583" s="253"/>
    </row>
    <row r="5584" spans="23:23" ht="20.25" customHeight="1">
      <c r="W5584" s="253"/>
    </row>
    <row r="5585" spans="23:23" ht="20.25" customHeight="1">
      <c r="W5585" s="253"/>
    </row>
    <row r="5586" spans="23:23" ht="20.25" customHeight="1">
      <c r="W5586" s="253"/>
    </row>
    <row r="5587" spans="23:23" ht="20.25" customHeight="1">
      <c r="W5587" s="253"/>
    </row>
    <row r="5588" spans="23:23" ht="20.25" customHeight="1">
      <c r="W5588" s="253"/>
    </row>
    <row r="5589" spans="23:23" ht="20.25" customHeight="1">
      <c r="W5589" s="253"/>
    </row>
    <row r="5590" spans="23:23" ht="20.25" customHeight="1">
      <c r="W5590" s="253"/>
    </row>
    <row r="5591" spans="23:23" ht="20.25" customHeight="1">
      <c r="W5591" s="253"/>
    </row>
    <row r="5592" spans="23:23" ht="20.25" customHeight="1">
      <c r="W5592" s="253"/>
    </row>
    <row r="5593" spans="23:23" ht="20.25" customHeight="1">
      <c r="W5593" s="253"/>
    </row>
    <row r="5594" spans="23:23" ht="20.25" customHeight="1">
      <c r="W5594" s="253"/>
    </row>
    <row r="5595" spans="23:23" ht="20.25" customHeight="1">
      <c r="W5595" s="253"/>
    </row>
    <row r="5596" spans="23:23" ht="20.25" customHeight="1">
      <c r="W5596" s="253"/>
    </row>
    <row r="5597" spans="23:23" ht="20.25" customHeight="1">
      <c r="W5597" s="253"/>
    </row>
    <row r="5598" spans="23:23" ht="20.25" customHeight="1">
      <c r="W5598" s="253"/>
    </row>
    <row r="5599" spans="23:23" ht="20.25" customHeight="1">
      <c r="W5599" s="253"/>
    </row>
    <row r="5600" spans="23:23" ht="20.25" customHeight="1">
      <c r="W5600" s="253"/>
    </row>
    <row r="5601" spans="23:23" ht="20.25" customHeight="1">
      <c r="W5601" s="253"/>
    </row>
    <row r="5602" spans="23:23" ht="20.25" customHeight="1">
      <c r="W5602" s="253"/>
    </row>
    <row r="5603" spans="23:23" ht="20.25" customHeight="1">
      <c r="W5603" s="253"/>
    </row>
    <row r="5604" spans="23:23" ht="20.25" customHeight="1">
      <c r="W5604" s="253"/>
    </row>
    <row r="5605" spans="23:23" ht="20.25" customHeight="1">
      <c r="W5605" s="253"/>
    </row>
    <row r="5606" spans="23:23" ht="20.25" customHeight="1">
      <c r="W5606" s="253"/>
    </row>
    <row r="5607" spans="23:23" ht="20.25" customHeight="1">
      <c r="W5607" s="253"/>
    </row>
    <row r="5608" spans="23:23" ht="20.25" customHeight="1">
      <c r="W5608" s="253"/>
    </row>
    <row r="5609" spans="23:23" ht="20.25" customHeight="1">
      <c r="W5609" s="253"/>
    </row>
    <row r="5610" spans="23:23" ht="20.25" customHeight="1">
      <c r="W5610" s="253"/>
    </row>
    <row r="5611" spans="23:23" ht="20.25" customHeight="1">
      <c r="W5611" s="253"/>
    </row>
    <row r="5612" spans="23:23" ht="20.25" customHeight="1">
      <c r="W5612" s="253"/>
    </row>
    <row r="5613" spans="23:23" ht="20.25" customHeight="1">
      <c r="W5613" s="253"/>
    </row>
    <row r="5614" spans="23:23" ht="20.25" customHeight="1">
      <c r="W5614" s="253"/>
    </row>
    <row r="5615" spans="23:23" ht="20.25" customHeight="1">
      <c r="W5615" s="253"/>
    </row>
    <row r="5616" spans="23:23" ht="20.25" customHeight="1">
      <c r="W5616" s="253"/>
    </row>
    <row r="5617" spans="23:23" ht="20.25" customHeight="1">
      <c r="W5617" s="253"/>
    </row>
    <row r="5618" spans="23:23" ht="20.25" customHeight="1">
      <c r="W5618" s="253"/>
    </row>
    <row r="5619" spans="23:23" ht="20.25" customHeight="1">
      <c r="W5619" s="253"/>
    </row>
    <row r="5620" spans="23:23" ht="20.25" customHeight="1">
      <c r="W5620" s="253"/>
    </row>
    <row r="5621" spans="23:23" ht="20.25" customHeight="1">
      <c r="W5621" s="253"/>
    </row>
    <row r="5622" spans="23:23" ht="20.25" customHeight="1">
      <c r="W5622" s="253"/>
    </row>
    <row r="5623" spans="23:23" ht="20.25" customHeight="1">
      <c r="W5623" s="253"/>
    </row>
    <row r="5624" spans="23:23" ht="20.25" customHeight="1">
      <c r="W5624" s="253"/>
    </row>
    <row r="5625" spans="23:23" ht="20.25" customHeight="1">
      <c r="W5625" s="253"/>
    </row>
    <row r="5626" spans="23:23" ht="20.25" customHeight="1">
      <c r="W5626" s="253"/>
    </row>
    <row r="5627" spans="23:23" ht="20.25" customHeight="1">
      <c r="W5627" s="253"/>
    </row>
    <row r="5628" spans="23:23" ht="20.25" customHeight="1">
      <c r="W5628" s="253"/>
    </row>
    <row r="5629" spans="23:23" ht="20.25" customHeight="1">
      <c r="W5629" s="253"/>
    </row>
    <row r="5630" spans="23:23" ht="20.25" customHeight="1">
      <c r="W5630" s="253"/>
    </row>
    <row r="5631" spans="23:23" ht="20.25" customHeight="1">
      <c r="W5631" s="253"/>
    </row>
    <row r="5632" spans="23:23" ht="20.25" customHeight="1">
      <c r="W5632" s="253"/>
    </row>
    <row r="5633" spans="23:23" ht="20.25" customHeight="1">
      <c r="W5633" s="253"/>
    </row>
    <row r="5634" spans="23:23" ht="20.25" customHeight="1">
      <c r="W5634" s="253"/>
    </row>
    <row r="5635" spans="23:23" ht="20.25" customHeight="1">
      <c r="W5635" s="253"/>
    </row>
    <row r="5636" spans="23:23" ht="20.25" customHeight="1">
      <c r="W5636" s="253"/>
    </row>
    <row r="5637" spans="23:23" ht="20.25" customHeight="1">
      <c r="W5637" s="253"/>
    </row>
    <row r="5638" spans="23:23" ht="20.25" customHeight="1">
      <c r="W5638" s="253"/>
    </row>
    <row r="5639" spans="23:23" ht="20.25" customHeight="1">
      <c r="W5639" s="253"/>
    </row>
    <row r="5640" spans="23:23" ht="20.25" customHeight="1">
      <c r="W5640" s="253"/>
    </row>
    <row r="5641" spans="23:23" ht="20.25" customHeight="1">
      <c r="W5641" s="253"/>
    </row>
    <row r="5642" spans="23:23" ht="20.25" customHeight="1">
      <c r="W5642" s="253"/>
    </row>
    <row r="5643" spans="23:23" ht="20.25" customHeight="1">
      <c r="W5643" s="253"/>
    </row>
    <row r="5644" spans="23:23" ht="20.25" customHeight="1">
      <c r="W5644" s="253"/>
    </row>
    <row r="5645" spans="23:23" ht="20.25" customHeight="1">
      <c r="W5645" s="253"/>
    </row>
    <row r="5646" spans="23:23" ht="20.25" customHeight="1">
      <c r="W5646" s="253"/>
    </row>
    <row r="5647" spans="23:23" ht="20.25" customHeight="1">
      <c r="W5647" s="253"/>
    </row>
    <row r="5648" spans="23:23" ht="20.25" customHeight="1">
      <c r="W5648" s="253"/>
    </row>
    <row r="5649" spans="23:23" ht="20.25" customHeight="1">
      <c r="W5649" s="253"/>
    </row>
    <row r="5650" spans="23:23" ht="20.25" customHeight="1">
      <c r="W5650" s="253"/>
    </row>
    <row r="5651" spans="23:23" ht="20.25" customHeight="1">
      <c r="W5651" s="253"/>
    </row>
    <row r="5652" spans="23:23" ht="20.25" customHeight="1">
      <c r="W5652" s="253"/>
    </row>
    <row r="5653" spans="23:23" ht="20.25" customHeight="1">
      <c r="W5653" s="253"/>
    </row>
    <row r="5654" spans="23:23" ht="20.25" customHeight="1">
      <c r="W5654" s="253"/>
    </row>
    <row r="5655" spans="23:23" ht="20.25" customHeight="1">
      <c r="W5655" s="253"/>
    </row>
    <row r="5656" spans="23:23" ht="20.25" customHeight="1">
      <c r="W5656" s="253"/>
    </row>
    <row r="5657" spans="23:23" ht="20.25" customHeight="1">
      <c r="W5657" s="253"/>
    </row>
    <row r="5658" spans="23:23" ht="20.25" customHeight="1">
      <c r="W5658" s="253"/>
    </row>
    <row r="5659" spans="23:23" ht="20.25" customHeight="1">
      <c r="W5659" s="253"/>
    </row>
    <row r="5660" spans="23:23" ht="20.25" customHeight="1">
      <c r="W5660" s="253"/>
    </row>
    <row r="5661" spans="23:23" ht="20.25" customHeight="1">
      <c r="W5661" s="253"/>
    </row>
    <row r="5662" spans="23:23" ht="20.25" customHeight="1">
      <c r="W5662" s="253"/>
    </row>
    <row r="5663" spans="23:23" ht="20.25" customHeight="1">
      <c r="W5663" s="253"/>
    </row>
    <row r="5664" spans="23:23" ht="20.25" customHeight="1">
      <c r="W5664" s="253"/>
    </row>
    <row r="5665" spans="23:23" ht="20.25" customHeight="1">
      <c r="W5665" s="253"/>
    </row>
    <row r="5666" spans="23:23" ht="20.25" customHeight="1">
      <c r="W5666" s="253"/>
    </row>
    <row r="5667" spans="23:23" ht="20.25" customHeight="1">
      <c r="W5667" s="253"/>
    </row>
    <row r="5668" spans="23:23" ht="20.25" customHeight="1">
      <c r="W5668" s="253"/>
    </row>
    <row r="5669" spans="23:23" ht="20.25" customHeight="1">
      <c r="W5669" s="253"/>
    </row>
    <row r="5670" spans="23:23" ht="20.25" customHeight="1">
      <c r="W5670" s="253"/>
    </row>
    <row r="5671" spans="23:23" ht="20.25" customHeight="1">
      <c r="W5671" s="253"/>
    </row>
    <row r="5672" spans="23:23" ht="20.25" customHeight="1">
      <c r="W5672" s="253"/>
    </row>
    <row r="5673" spans="23:23" ht="20.25" customHeight="1">
      <c r="W5673" s="253"/>
    </row>
    <row r="5674" spans="23:23" ht="20.25" customHeight="1">
      <c r="W5674" s="253"/>
    </row>
    <row r="5675" spans="23:23" ht="20.25" customHeight="1">
      <c r="W5675" s="253"/>
    </row>
    <row r="5676" spans="23:23" ht="20.25" customHeight="1">
      <c r="W5676" s="253"/>
    </row>
    <row r="5677" spans="23:23" ht="20.25" customHeight="1">
      <c r="W5677" s="253"/>
    </row>
    <row r="5678" spans="23:23" ht="20.25" customHeight="1">
      <c r="W5678" s="253"/>
    </row>
    <row r="5679" spans="23:23" ht="20.25" customHeight="1">
      <c r="W5679" s="253"/>
    </row>
    <row r="5680" spans="23:23" ht="20.25" customHeight="1">
      <c r="W5680" s="253"/>
    </row>
    <row r="5681" spans="23:23" ht="20.25" customHeight="1">
      <c r="W5681" s="253"/>
    </row>
    <row r="5682" spans="23:23" ht="20.25" customHeight="1">
      <c r="W5682" s="253"/>
    </row>
    <row r="5683" spans="23:23" ht="20.25" customHeight="1">
      <c r="W5683" s="253"/>
    </row>
    <row r="5684" spans="23:23" ht="20.25" customHeight="1">
      <c r="W5684" s="253"/>
    </row>
    <row r="5685" spans="23:23" ht="20.25" customHeight="1">
      <c r="W5685" s="253"/>
    </row>
    <row r="5686" spans="23:23" ht="20.25" customHeight="1">
      <c r="W5686" s="253"/>
    </row>
    <row r="5687" spans="23:23" ht="20.25" customHeight="1">
      <c r="W5687" s="253"/>
    </row>
    <row r="5688" spans="23:23" ht="20.25" customHeight="1">
      <c r="W5688" s="253"/>
    </row>
    <row r="5689" spans="23:23" ht="20.25" customHeight="1">
      <c r="W5689" s="253"/>
    </row>
    <row r="5690" spans="23:23" ht="20.25" customHeight="1">
      <c r="W5690" s="253"/>
    </row>
    <row r="5691" spans="23:23" ht="20.25" customHeight="1">
      <c r="W5691" s="253"/>
    </row>
    <row r="5692" spans="23:23" ht="20.25" customHeight="1">
      <c r="W5692" s="253"/>
    </row>
    <row r="5693" spans="23:23" ht="20.25" customHeight="1">
      <c r="W5693" s="253"/>
    </row>
    <row r="5694" spans="23:23" ht="20.25" customHeight="1">
      <c r="W5694" s="253"/>
    </row>
    <row r="5695" spans="23:23" ht="20.25" customHeight="1">
      <c r="W5695" s="253"/>
    </row>
    <row r="5696" spans="23:23" ht="20.25" customHeight="1">
      <c r="W5696" s="253"/>
    </row>
    <row r="5697" spans="23:23" ht="20.25" customHeight="1">
      <c r="W5697" s="253"/>
    </row>
    <row r="5698" spans="23:23" ht="20.25" customHeight="1">
      <c r="W5698" s="253"/>
    </row>
    <row r="5699" spans="23:23" ht="20.25" customHeight="1">
      <c r="W5699" s="253"/>
    </row>
    <row r="5700" spans="23:23" ht="20.25" customHeight="1">
      <c r="W5700" s="253"/>
    </row>
    <row r="5701" spans="23:23" ht="20.25" customHeight="1">
      <c r="W5701" s="253"/>
    </row>
    <row r="5702" spans="23:23" ht="20.25" customHeight="1">
      <c r="W5702" s="253"/>
    </row>
    <row r="5703" spans="23:23" ht="20.25" customHeight="1">
      <c r="W5703" s="253"/>
    </row>
    <row r="5704" spans="23:23" ht="20.25" customHeight="1">
      <c r="W5704" s="253"/>
    </row>
    <row r="5705" spans="23:23" ht="20.25" customHeight="1">
      <c r="W5705" s="253"/>
    </row>
    <row r="5706" spans="23:23" ht="20.25" customHeight="1">
      <c r="W5706" s="253"/>
    </row>
    <row r="5707" spans="23:23" ht="20.25" customHeight="1">
      <c r="W5707" s="253"/>
    </row>
    <row r="5708" spans="23:23" ht="20.25" customHeight="1">
      <c r="W5708" s="253"/>
    </row>
    <row r="5709" spans="23:23" ht="20.25" customHeight="1">
      <c r="W5709" s="253"/>
    </row>
    <row r="5710" spans="23:23" ht="20.25" customHeight="1">
      <c r="W5710" s="253"/>
    </row>
    <row r="5711" spans="23:23" ht="20.25" customHeight="1">
      <c r="W5711" s="253"/>
    </row>
    <row r="5712" spans="23:23" ht="20.25" customHeight="1">
      <c r="W5712" s="253"/>
    </row>
    <row r="5713" spans="23:23" ht="20.25" customHeight="1">
      <c r="W5713" s="253"/>
    </row>
    <row r="5714" spans="23:23" ht="20.25" customHeight="1">
      <c r="W5714" s="253"/>
    </row>
    <row r="5715" spans="23:23" ht="20.25" customHeight="1">
      <c r="W5715" s="253"/>
    </row>
    <row r="5716" spans="23:23" ht="20.25" customHeight="1">
      <c r="W5716" s="253"/>
    </row>
    <row r="5717" spans="23:23" ht="20.25" customHeight="1">
      <c r="W5717" s="253"/>
    </row>
    <row r="5718" spans="23:23" ht="20.25" customHeight="1">
      <c r="W5718" s="253"/>
    </row>
    <row r="5719" spans="23:23" ht="20.25" customHeight="1">
      <c r="W5719" s="253"/>
    </row>
    <row r="5720" spans="23:23" ht="20.25" customHeight="1">
      <c r="W5720" s="253"/>
    </row>
    <row r="5721" spans="23:23" ht="20.25" customHeight="1">
      <c r="W5721" s="253"/>
    </row>
    <row r="5722" spans="23:23" ht="20.25" customHeight="1">
      <c r="W5722" s="253"/>
    </row>
    <row r="5723" spans="23:23" ht="20.25" customHeight="1">
      <c r="W5723" s="253"/>
    </row>
    <row r="5724" spans="23:23" ht="20.25" customHeight="1">
      <c r="W5724" s="253"/>
    </row>
    <row r="5725" spans="23:23" ht="20.25" customHeight="1">
      <c r="W5725" s="253"/>
    </row>
    <row r="5726" spans="23:23" ht="20.25" customHeight="1">
      <c r="W5726" s="253"/>
    </row>
    <row r="5727" spans="23:23" ht="20.25" customHeight="1">
      <c r="W5727" s="253"/>
    </row>
    <row r="5728" spans="23:23" ht="20.25" customHeight="1">
      <c r="W5728" s="253"/>
    </row>
    <row r="5729" spans="23:23" ht="20.25" customHeight="1">
      <c r="W5729" s="253"/>
    </row>
    <row r="5730" spans="23:23" ht="20.25" customHeight="1">
      <c r="W5730" s="253"/>
    </row>
    <row r="5731" spans="23:23" ht="20.25" customHeight="1">
      <c r="W5731" s="253"/>
    </row>
    <row r="5732" spans="23:23" ht="20.25" customHeight="1">
      <c r="W5732" s="253"/>
    </row>
    <row r="5733" spans="23:23" ht="20.25" customHeight="1">
      <c r="W5733" s="253"/>
    </row>
    <row r="5734" spans="23:23" ht="20.25" customHeight="1">
      <c r="W5734" s="253"/>
    </row>
    <row r="5735" spans="23:23" ht="20.25" customHeight="1">
      <c r="W5735" s="253"/>
    </row>
    <row r="5736" spans="23:23" ht="20.25" customHeight="1">
      <c r="W5736" s="253"/>
    </row>
    <row r="5737" spans="23:23" ht="20.25" customHeight="1">
      <c r="W5737" s="253"/>
    </row>
    <row r="5738" spans="23:23" ht="20.25" customHeight="1">
      <c r="W5738" s="253"/>
    </row>
    <row r="5739" spans="23:23" ht="20.25" customHeight="1">
      <c r="W5739" s="253"/>
    </row>
    <row r="5740" spans="23:23" ht="20.25" customHeight="1">
      <c r="W5740" s="253"/>
    </row>
    <row r="5741" spans="23:23" ht="20.25" customHeight="1">
      <c r="W5741" s="253"/>
    </row>
    <row r="5742" spans="23:23" ht="20.25" customHeight="1">
      <c r="W5742" s="253"/>
    </row>
    <row r="5743" spans="23:23" ht="20.25" customHeight="1">
      <c r="W5743" s="253"/>
    </row>
    <row r="5744" spans="23:23" ht="20.25" customHeight="1">
      <c r="W5744" s="253"/>
    </row>
    <row r="5745" spans="23:23" ht="20.25" customHeight="1">
      <c r="W5745" s="253"/>
    </row>
    <row r="5746" spans="23:23" ht="20.25" customHeight="1">
      <c r="W5746" s="253"/>
    </row>
    <row r="5747" spans="23:23" ht="20.25" customHeight="1">
      <c r="W5747" s="253"/>
    </row>
    <row r="5748" spans="23:23" ht="20.25" customHeight="1">
      <c r="W5748" s="253"/>
    </row>
    <row r="5749" spans="23:23" ht="20.25" customHeight="1">
      <c r="W5749" s="253"/>
    </row>
    <row r="5750" spans="23:23" ht="20.25" customHeight="1">
      <c r="W5750" s="253"/>
    </row>
    <row r="5751" spans="23:23" ht="20.25" customHeight="1">
      <c r="W5751" s="253"/>
    </row>
    <row r="5752" spans="23:23" ht="20.25" customHeight="1">
      <c r="W5752" s="253"/>
    </row>
    <row r="5753" spans="23:23" ht="20.25" customHeight="1">
      <c r="W5753" s="253"/>
    </row>
    <row r="5754" spans="23:23" ht="20.25" customHeight="1">
      <c r="W5754" s="253"/>
    </row>
    <row r="5755" spans="23:23" ht="20.25" customHeight="1">
      <c r="W5755" s="253"/>
    </row>
    <row r="5756" spans="23:23" ht="20.25" customHeight="1">
      <c r="W5756" s="253"/>
    </row>
    <row r="5757" spans="23:23" ht="20.25" customHeight="1">
      <c r="W5757" s="253"/>
    </row>
    <row r="5758" spans="23:23" ht="20.25" customHeight="1">
      <c r="W5758" s="253"/>
    </row>
    <row r="5759" spans="23:23" ht="20.25" customHeight="1">
      <c r="W5759" s="253"/>
    </row>
    <row r="5760" spans="23:23" ht="20.25" customHeight="1">
      <c r="W5760" s="253"/>
    </row>
    <row r="5761" spans="23:23" ht="20.25" customHeight="1">
      <c r="W5761" s="253"/>
    </row>
    <row r="5762" spans="23:23" ht="20.25" customHeight="1">
      <c r="W5762" s="253"/>
    </row>
    <row r="5763" spans="23:23" ht="20.25" customHeight="1">
      <c r="W5763" s="253"/>
    </row>
    <row r="5764" spans="23:23" ht="20.25" customHeight="1">
      <c r="W5764" s="253"/>
    </row>
    <row r="5765" spans="23:23" ht="20.25" customHeight="1">
      <c r="W5765" s="253"/>
    </row>
    <row r="5766" spans="23:23" ht="20.25" customHeight="1">
      <c r="W5766" s="253"/>
    </row>
    <row r="5767" spans="23:23" ht="20.25" customHeight="1">
      <c r="W5767" s="253"/>
    </row>
    <row r="5768" spans="23:23" ht="20.25" customHeight="1">
      <c r="W5768" s="253"/>
    </row>
    <row r="5769" spans="23:23" ht="20.25" customHeight="1">
      <c r="W5769" s="253"/>
    </row>
    <row r="5770" spans="23:23" ht="20.25" customHeight="1">
      <c r="W5770" s="253"/>
    </row>
    <row r="5771" spans="23:23" ht="20.25" customHeight="1">
      <c r="W5771" s="253"/>
    </row>
    <row r="5772" spans="23:23" ht="20.25" customHeight="1">
      <c r="W5772" s="253"/>
    </row>
    <row r="5773" spans="23:23" ht="20.25" customHeight="1">
      <c r="W5773" s="253"/>
    </row>
    <row r="5774" spans="23:23" ht="20.25" customHeight="1">
      <c r="W5774" s="253"/>
    </row>
    <row r="5775" spans="23:23" ht="20.25" customHeight="1">
      <c r="W5775" s="253"/>
    </row>
    <row r="5776" spans="23:23" ht="20.25" customHeight="1">
      <c r="W5776" s="253"/>
    </row>
    <row r="5777" spans="23:23" ht="20.25" customHeight="1">
      <c r="W5777" s="253"/>
    </row>
    <row r="5778" spans="23:23" ht="20.25" customHeight="1">
      <c r="W5778" s="253"/>
    </row>
    <row r="5779" spans="23:23" ht="20.25" customHeight="1">
      <c r="W5779" s="253"/>
    </row>
    <row r="5780" spans="23:23" ht="20.25" customHeight="1">
      <c r="W5780" s="253"/>
    </row>
    <row r="5781" spans="23:23" ht="20.25" customHeight="1">
      <c r="W5781" s="253"/>
    </row>
    <row r="5782" spans="23:23" ht="20.25" customHeight="1">
      <c r="W5782" s="253"/>
    </row>
    <row r="5783" spans="23:23" ht="20.25" customHeight="1">
      <c r="W5783" s="253"/>
    </row>
    <row r="5784" spans="23:23" ht="20.25" customHeight="1">
      <c r="W5784" s="253"/>
    </row>
    <row r="5785" spans="23:23" ht="20.25" customHeight="1">
      <c r="W5785" s="253"/>
    </row>
    <row r="5786" spans="23:23" ht="20.25" customHeight="1">
      <c r="W5786" s="253"/>
    </row>
    <row r="5787" spans="23:23" ht="20.25" customHeight="1">
      <c r="W5787" s="253"/>
    </row>
    <row r="5788" spans="23:23" ht="20.25" customHeight="1">
      <c r="W5788" s="253"/>
    </row>
    <row r="5789" spans="23:23" ht="20.25" customHeight="1">
      <c r="W5789" s="253"/>
    </row>
    <row r="5790" spans="23:23" ht="20.25" customHeight="1">
      <c r="W5790" s="253"/>
    </row>
    <row r="5791" spans="23:23" ht="20.25" customHeight="1">
      <c r="W5791" s="253"/>
    </row>
    <row r="5792" spans="23:23" ht="20.25" customHeight="1">
      <c r="W5792" s="253"/>
    </row>
    <row r="5793" spans="23:23" ht="20.25" customHeight="1">
      <c r="W5793" s="253"/>
    </row>
    <row r="5794" spans="23:23" ht="20.25" customHeight="1">
      <c r="W5794" s="253"/>
    </row>
    <row r="5795" spans="23:23" ht="20.25" customHeight="1">
      <c r="W5795" s="253"/>
    </row>
    <row r="5796" spans="23:23" ht="20.25" customHeight="1">
      <c r="W5796" s="253"/>
    </row>
    <row r="5797" spans="23:23" ht="20.25" customHeight="1">
      <c r="W5797" s="253"/>
    </row>
    <row r="5798" spans="23:23" ht="20.25" customHeight="1">
      <c r="W5798" s="253"/>
    </row>
    <row r="5799" spans="23:23" ht="20.25" customHeight="1">
      <c r="W5799" s="253"/>
    </row>
    <row r="5800" spans="23:23" ht="20.25" customHeight="1">
      <c r="W5800" s="253"/>
    </row>
    <row r="5801" spans="23:23" ht="20.25" customHeight="1">
      <c r="W5801" s="253"/>
    </row>
    <row r="5802" spans="23:23" ht="20.25" customHeight="1">
      <c r="W5802" s="253"/>
    </row>
    <row r="5803" spans="23:23" ht="20.25" customHeight="1">
      <c r="W5803" s="253"/>
    </row>
    <row r="5804" spans="23:23" ht="20.25" customHeight="1">
      <c r="W5804" s="253"/>
    </row>
    <row r="5805" spans="23:23" ht="20.25" customHeight="1">
      <c r="W5805" s="253"/>
    </row>
    <row r="5806" spans="23:23" ht="20.25" customHeight="1">
      <c r="W5806" s="253"/>
    </row>
    <row r="5807" spans="23:23" ht="20.25" customHeight="1">
      <c r="W5807" s="253"/>
    </row>
    <row r="5808" spans="23:23" ht="20.25" customHeight="1">
      <c r="W5808" s="253"/>
    </row>
    <row r="5809" spans="23:23" ht="20.25" customHeight="1">
      <c r="W5809" s="253"/>
    </row>
    <row r="5810" spans="23:23" ht="20.25" customHeight="1">
      <c r="W5810" s="253"/>
    </row>
    <row r="5811" spans="23:23" ht="20.25" customHeight="1">
      <c r="W5811" s="253"/>
    </row>
    <row r="5812" spans="23:23" ht="20.25" customHeight="1">
      <c r="W5812" s="253"/>
    </row>
    <row r="5813" spans="23:23" ht="20.25" customHeight="1">
      <c r="W5813" s="253"/>
    </row>
    <row r="5814" spans="23:23" ht="20.25" customHeight="1">
      <c r="W5814" s="253"/>
    </row>
    <row r="5815" spans="23:23" ht="20.25" customHeight="1">
      <c r="W5815" s="253"/>
    </row>
    <row r="5816" spans="23:23" ht="20.25" customHeight="1">
      <c r="W5816" s="253"/>
    </row>
    <row r="5817" spans="23:23" ht="20.25" customHeight="1">
      <c r="W5817" s="253"/>
    </row>
    <row r="5818" spans="23:23" ht="20.25" customHeight="1">
      <c r="W5818" s="253"/>
    </row>
    <row r="5819" spans="23:23" ht="20.25" customHeight="1">
      <c r="W5819" s="253"/>
    </row>
    <row r="5820" spans="23:23" ht="20.25" customHeight="1">
      <c r="W5820" s="253"/>
    </row>
    <row r="5821" spans="23:23" ht="20.25" customHeight="1">
      <c r="W5821" s="253"/>
    </row>
    <row r="5822" spans="23:23" ht="20.25" customHeight="1">
      <c r="W5822" s="253"/>
    </row>
    <row r="5823" spans="23:23" ht="20.25" customHeight="1">
      <c r="W5823" s="253"/>
    </row>
    <row r="5824" spans="23:23" ht="20.25" customHeight="1">
      <c r="W5824" s="253"/>
    </row>
    <row r="5825" spans="23:23" ht="20.25" customHeight="1">
      <c r="W5825" s="253"/>
    </row>
    <row r="5826" spans="23:23" ht="20.25" customHeight="1">
      <c r="W5826" s="253"/>
    </row>
    <row r="5827" spans="23:23" ht="20.25" customHeight="1">
      <c r="W5827" s="253"/>
    </row>
    <row r="5828" spans="23:23" ht="20.25" customHeight="1">
      <c r="W5828" s="253"/>
    </row>
    <row r="5829" spans="23:23" ht="20.25" customHeight="1">
      <c r="W5829" s="253"/>
    </row>
    <row r="5830" spans="23:23" ht="20.25" customHeight="1">
      <c r="W5830" s="253"/>
    </row>
    <row r="5831" spans="23:23" ht="20.25" customHeight="1">
      <c r="W5831" s="253"/>
    </row>
    <row r="5832" spans="23:23" ht="20.25" customHeight="1">
      <c r="W5832" s="253"/>
    </row>
    <row r="5833" spans="23:23" ht="20.25" customHeight="1">
      <c r="W5833" s="253"/>
    </row>
    <row r="5834" spans="23:23" ht="20.25" customHeight="1">
      <c r="W5834" s="253"/>
    </row>
    <row r="5835" spans="23:23" ht="20.25" customHeight="1">
      <c r="W5835" s="253"/>
    </row>
    <row r="5836" spans="23:23" ht="20.25" customHeight="1">
      <c r="W5836" s="253"/>
    </row>
    <row r="5837" spans="23:23" ht="20.25" customHeight="1">
      <c r="W5837" s="253"/>
    </row>
    <row r="5838" spans="23:23" ht="20.25" customHeight="1">
      <c r="W5838" s="253"/>
    </row>
    <row r="5839" spans="23:23" ht="20.25" customHeight="1">
      <c r="W5839" s="253"/>
    </row>
    <row r="5840" spans="23:23" ht="20.25" customHeight="1">
      <c r="W5840" s="253"/>
    </row>
    <row r="5841" spans="23:23" ht="20.25" customHeight="1">
      <c r="W5841" s="253"/>
    </row>
    <row r="5842" spans="23:23" ht="20.25" customHeight="1">
      <c r="W5842" s="253"/>
    </row>
    <row r="5843" spans="23:23" ht="20.25" customHeight="1">
      <c r="W5843" s="253"/>
    </row>
    <row r="5844" spans="23:23" ht="20.25" customHeight="1">
      <c r="W5844" s="253"/>
    </row>
    <row r="5845" spans="23:23" ht="20.25" customHeight="1">
      <c r="W5845" s="253"/>
    </row>
    <row r="5846" spans="23:23" ht="20.25" customHeight="1">
      <c r="W5846" s="253"/>
    </row>
    <row r="5847" spans="23:23" ht="20.25" customHeight="1">
      <c r="W5847" s="253"/>
    </row>
    <row r="5848" spans="23:23" ht="20.25" customHeight="1">
      <c r="W5848" s="253"/>
    </row>
    <row r="5849" spans="23:23" ht="20.25" customHeight="1">
      <c r="W5849" s="253"/>
    </row>
    <row r="5850" spans="23:23" ht="20.25" customHeight="1">
      <c r="W5850" s="253"/>
    </row>
    <row r="5851" spans="23:23" ht="20.25" customHeight="1">
      <c r="W5851" s="253"/>
    </row>
    <row r="5852" spans="23:23" ht="20.25" customHeight="1">
      <c r="W5852" s="253"/>
    </row>
    <row r="5853" spans="23:23" ht="20.25" customHeight="1">
      <c r="W5853" s="253"/>
    </row>
    <row r="5854" spans="23:23" ht="20.25" customHeight="1">
      <c r="W5854" s="253"/>
    </row>
    <row r="5855" spans="23:23" ht="20.25" customHeight="1">
      <c r="W5855" s="253"/>
    </row>
    <row r="5856" spans="23:23" ht="20.25" customHeight="1">
      <c r="W5856" s="253"/>
    </row>
    <row r="5857" spans="23:23" ht="20.25" customHeight="1">
      <c r="W5857" s="253"/>
    </row>
    <row r="5858" spans="23:23" ht="20.25" customHeight="1">
      <c r="W5858" s="253"/>
    </row>
    <row r="5859" spans="23:23" ht="20.25" customHeight="1">
      <c r="W5859" s="253"/>
    </row>
    <row r="5860" spans="23:23" ht="20.25" customHeight="1">
      <c r="W5860" s="253"/>
    </row>
    <row r="5861" spans="23:23" ht="20.25" customHeight="1">
      <c r="W5861" s="253"/>
    </row>
    <row r="5862" spans="23:23" ht="20.25" customHeight="1">
      <c r="W5862" s="253"/>
    </row>
    <row r="5863" spans="23:23" ht="20.25" customHeight="1">
      <c r="W5863" s="253"/>
    </row>
    <row r="5864" spans="23:23" ht="20.25" customHeight="1">
      <c r="W5864" s="253"/>
    </row>
    <row r="5865" spans="23:23" ht="20.25" customHeight="1">
      <c r="W5865" s="253"/>
    </row>
    <row r="5866" spans="23:23" ht="20.25" customHeight="1">
      <c r="W5866" s="253"/>
    </row>
    <row r="5867" spans="23:23" ht="20.25" customHeight="1">
      <c r="W5867" s="253"/>
    </row>
    <row r="5868" spans="23:23" ht="20.25" customHeight="1">
      <c r="W5868" s="253"/>
    </row>
    <row r="5869" spans="23:23" ht="20.25" customHeight="1">
      <c r="W5869" s="253"/>
    </row>
    <row r="5870" spans="23:23" ht="20.25" customHeight="1">
      <c r="W5870" s="253"/>
    </row>
    <row r="5871" spans="23:23" ht="20.25" customHeight="1">
      <c r="W5871" s="253"/>
    </row>
    <row r="5872" spans="23:23" ht="20.25" customHeight="1">
      <c r="W5872" s="253"/>
    </row>
    <row r="5873" spans="23:23" ht="20.25" customHeight="1">
      <c r="W5873" s="253"/>
    </row>
    <row r="5874" spans="23:23" ht="20.25" customHeight="1">
      <c r="W5874" s="253"/>
    </row>
    <row r="5875" spans="23:23" ht="20.25" customHeight="1">
      <c r="W5875" s="253"/>
    </row>
    <row r="5876" spans="23:23" ht="20.25" customHeight="1">
      <c r="W5876" s="253"/>
    </row>
    <row r="5877" spans="23:23" ht="20.25" customHeight="1">
      <c r="W5877" s="253"/>
    </row>
    <row r="5878" spans="23:23" ht="20.25" customHeight="1">
      <c r="W5878" s="253"/>
    </row>
    <row r="5879" spans="23:23" ht="20.25" customHeight="1">
      <c r="W5879" s="253"/>
    </row>
    <row r="5880" spans="23:23" ht="20.25" customHeight="1">
      <c r="W5880" s="253"/>
    </row>
    <row r="5881" spans="23:23" ht="20.25" customHeight="1">
      <c r="W5881" s="253"/>
    </row>
    <row r="5882" spans="23:23" ht="20.25" customHeight="1">
      <c r="W5882" s="253"/>
    </row>
    <row r="5883" spans="23:23" ht="20.25" customHeight="1">
      <c r="W5883" s="253"/>
    </row>
    <row r="5884" spans="23:23" ht="20.25" customHeight="1">
      <c r="W5884" s="253"/>
    </row>
    <row r="5885" spans="23:23" ht="20.25" customHeight="1">
      <c r="W5885" s="253"/>
    </row>
    <row r="5886" spans="23:23" ht="20.25" customHeight="1">
      <c r="W5886" s="253"/>
    </row>
    <row r="5887" spans="23:23" ht="20.25" customHeight="1">
      <c r="W5887" s="253"/>
    </row>
    <row r="5888" spans="23:23" ht="20.25" customHeight="1">
      <c r="W5888" s="253"/>
    </row>
    <row r="5889" spans="23:23" ht="20.25" customHeight="1">
      <c r="W5889" s="253"/>
    </row>
    <row r="5890" spans="23:23" ht="20.25" customHeight="1">
      <c r="W5890" s="253"/>
    </row>
    <row r="5891" spans="23:23" ht="20.25" customHeight="1">
      <c r="W5891" s="253"/>
    </row>
    <row r="5892" spans="23:23" ht="20.25" customHeight="1">
      <c r="W5892" s="253"/>
    </row>
    <row r="5893" spans="23:23" ht="20.25" customHeight="1">
      <c r="W5893" s="253"/>
    </row>
    <row r="5894" spans="23:23" ht="20.25" customHeight="1">
      <c r="W5894" s="253"/>
    </row>
    <row r="5895" spans="23:23" ht="20.25" customHeight="1">
      <c r="W5895" s="253"/>
    </row>
    <row r="5896" spans="23:23" ht="20.25" customHeight="1">
      <c r="W5896" s="253"/>
    </row>
    <row r="5897" spans="23:23" ht="20.25" customHeight="1">
      <c r="W5897" s="253"/>
    </row>
    <row r="5898" spans="23:23" ht="20.25" customHeight="1">
      <c r="W5898" s="253"/>
    </row>
    <row r="5899" spans="23:23" ht="20.25" customHeight="1">
      <c r="W5899" s="253"/>
    </row>
    <row r="5900" spans="23:23" ht="20.25" customHeight="1">
      <c r="W5900" s="253"/>
    </row>
    <row r="5901" spans="23:23" ht="20.25" customHeight="1">
      <c r="W5901" s="253"/>
    </row>
    <row r="5902" spans="23:23" ht="20.25" customHeight="1">
      <c r="W5902" s="253"/>
    </row>
    <row r="5903" spans="23:23" ht="20.25" customHeight="1">
      <c r="W5903" s="253"/>
    </row>
    <row r="5904" spans="23:23" ht="20.25" customHeight="1">
      <c r="W5904" s="253"/>
    </row>
    <row r="5905" spans="23:23" ht="20.25" customHeight="1">
      <c r="W5905" s="253"/>
    </row>
    <row r="5906" spans="23:23" ht="20.25" customHeight="1">
      <c r="W5906" s="253"/>
    </row>
    <row r="5907" spans="23:23" ht="20.25" customHeight="1">
      <c r="W5907" s="253"/>
    </row>
    <row r="5908" spans="23:23" ht="20.25" customHeight="1">
      <c r="W5908" s="253"/>
    </row>
    <row r="5909" spans="23:23" ht="20.25" customHeight="1">
      <c r="W5909" s="253"/>
    </row>
    <row r="5910" spans="23:23" ht="20.25" customHeight="1">
      <c r="W5910" s="253"/>
    </row>
    <row r="5911" spans="23:23" ht="20.25" customHeight="1">
      <c r="W5911" s="253"/>
    </row>
    <row r="5912" spans="23:23" ht="20.25" customHeight="1">
      <c r="W5912" s="253"/>
    </row>
    <row r="5913" spans="23:23" ht="20.25" customHeight="1">
      <c r="W5913" s="253"/>
    </row>
    <row r="5914" spans="23:23" ht="20.25" customHeight="1">
      <c r="W5914" s="253"/>
    </row>
    <row r="5915" spans="23:23" ht="20.25" customHeight="1">
      <c r="W5915" s="253"/>
    </row>
    <row r="5916" spans="23:23" ht="20.25" customHeight="1">
      <c r="W5916" s="253"/>
    </row>
    <row r="5917" spans="23:23" ht="20.25" customHeight="1">
      <c r="W5917" s="253"/>
    </row>
    <row r="5918" spans="23:23" ht="20.25" customHeight="1">
      <c r="W5918" s="253"/>
    </row>
    <row r="5919" spans="23:23" ht="20.25" customHeight="1">
      <c r="W5919" s="253"/>
    </row>
    <row r="5920" spans="23:23" ht="20.25" customHeight="1">
      <c r="W5920" s="253"/>
    </row>
    <row r="5921" spans="23:23" ht="20.25" customHeight="1">
      <c r="W5921" s="253"/>
    </row>
    <row r="5922" spans="23:23" ht="20.25" customHeight="1">
      <c r="W5922" s="253"/>
    </row>
    <row r="5923" spans="23:23" ht="20.25" customHeight="1">
      <c r="W5923" s="253"/>
    </row>
    <row r="5924" spans="23:23" ht="20.25" customHeight="1">
      <c r="W5924" s="253"/>
    </row>
    <row r="5925" spans="23:23" ht="20.25" customHeight="1">
      <c r="W5925" s="253"/>
    </row>
    <row r="5926" spans="23:23" ht="20.25" customHeight="1">
      <c r="W5926" s="253"/>
    </row>
    <row r="5927" spans="23:23" ht="20.25" customHeight="1">
      <c r="W5927" s="253"/>
    </row>
    <row r="5928" spans="23:23" ht="20.25" customHeight="1">
      <c r="W5928" s="253"/>
    </row>
    <row r="5929" spans="23:23" ht="20.25" customHeight="1">
      <c r="W5929" s="253"/>
    </row>
    <row r="5930" spans="23:23" ht="20.25" customHeight="1">
      <c r="W5930" s="253"/>
    </row>
    <row r="5931" spans="23:23" ht="20.25" customHeight="1">
      <c r="W5931" s="253"/>
    </row>
    <row r="5932" spans="23:23" ht="20.25" customHeight="1">
      <c r="W5932" s="253"/>
    </row>
    <row r="5933" spans="23:23" ht="20.25" customHeight="1">
      <c r="W5933" s="253"/>
    </row>
    <row r="5934" spans="23:23" ht="20.25" customHeight="1">
      <c r="W5934" s="253"/>
    </row>
    <row r="5935" spans="23:23" ht="20.25" customHeight="1">
      <c r="W5935" s="253"/>
    </row>
    <row r="5936" spans="23:23" ht="20.25" customHeight="1">
      <c r="W5936" s="253"/>
    </row>
    <row r="5937" spans="23:23" ht="20.25" customHeight="1">
      <c r="W5937" s="253"/>
    </row>
    <row r="5938" spans="23:23" ht="20.25" customHeight="1">
      <c r="W5938" s="253"/>
    </row>
    <row r="5939" spans="23:23" ht="20.25" customHeight="1">
      <c r="W5939" s="253"/>
    </row>
    <row r="5940" spans="23:23" ht="20.25" customHeight="1">
      <c r="W5940" s="253"/>
    </row>
    <row r="5941" spans="23:23" ht="20.25" customHeight="1">
      <c r="W5941" s="253"/>
    </row>
    <row r="5942" spans="23:23" ht="20.25" customHeight="1">
      <c r="W5942" s="253"/>
    </row>
    <row r="5943" spans="23:23" ht="20.25" customHeight="1">
      <c r="W5943" s="253"/>
    </row>
    <row r="5944" spans="23:23" ht="20.25" customHeight="1">
      <c r="W5944" s="253"/>
    </row>
    <row r="5945" spans="23:23" ht="20.25" customHeight="1">
      <c r="W5945" s="253"/>
    </row>
    <row r="5946" spans="23:23" ht="20.25" customHeight="1">
      <c r="W5946" s="253"/>
    </row>
    <row r="5947" spans="23:23" ht="20.25" customHeight="1">
      <c r="W5947" s="253"/>
    </row>
    <row r="5948" spans="23:23" ht="20.25" customHeight="1">
      <c r="W5948" s="253"/>
    </row>
    <row r="5949" spans="23:23" ht="20.25" customHeight="1">
      <c r="W5949" s="253"/>
    </row>
    <row r="5950" spans="23:23" ht="20.25" customHeight="1">
      <c r="W5950" s="253"/>
    </row>
    <row r="5951" spans="23:23" ht="20.25" customHeight="1">
      <c r="W5951" s="253"/>
    </row>
    <row r="5952" spans="23:23" ht="20.25" customHeight="1">
      <c r="W5952" s="253"/>
    </row>
    <row r="5953" spans="23:23" ht="20.25" customHeight="1">
      <c r="W5953" s="253"/>
    </row>
    <row r="5954" spans="23:23" ht="20.25" customHeight="1">
      <c r="W5954" s="253"/>
    </row>
    <row r="5955" spans="23:23" ht="20.25" customHeight="1">
      <c r="W5955" s="253"/>
    </row>
    <row r="5956" spans="23:23" ht="20.25" customHeight="1">
      <c r="W5956" s="253"/>
    </row>
    <row r="5957" spans="23:23" ht="20.25" customHeight="1">
      <c r="W5957" s="253"/>
    </row>
    <row r="5958" spans="23:23" ht="20.25" customHeight="1">
      <c r="W5958" s="253"/>
    </row>
    <row r="5959" spans="23:23" ht="20.25" customHeight="1">
      <c r="W5959" s="253"/>
    </row>
    <row r="5960" spans="23:23" ht="20.25" customHeight="1">
      <c r="W5960" s="253"/>
    </row>
    <row r="5961" spans="23:23" ht="20.25" customHeight="1">
      <c r="W5961" s="253"/>
    </row>
    <row r="5962" spans="23:23" ht="20.25" customHeight="1">
      <c r="W5962" s="253"/>
    </row>
    <row r="5963" spans="23:23" ht="20.25" customHeight="1">
      <c r="W5963" s="253"/>
    </row>
    <row r="5964" spans="23:23" ht="20.25" customHeight="1">
      <c r="W5964" s="253"/>
    </row>
    <row r="5965" spans="23:23" ht="20.25" customHeight="1">
      <c r="W5965" s="253"/>
    </row>
    <row r="5966" spans="23:23" ht="20.25" customHeight="1">
      <c r="W5966" s="253"/>
    </row>
    <row r="5967" spans="23:23" ht="20.25" customHeight="1">
      <c r="W5967" s="253"/>
    </row>
    <row r="5968" spans="23:23" ht="20.25" customHeight="1">
      <c r="W5968" s="253"/>
    </row>
    <row r="5969" spans="23:23" ht="20.25" customHeight="1">
      <c r="W5969" s="253"/>
    </row>
    <row r="5970" spans="23:23" ht="20.25" customHeight="1">
      <c r="W5970" s="253"/>
    </row>
    <row r="5971" spans="23:23" ht="20.25" customHeight="1">
      <c r="W5971" s="253"/>
    </row>
    <row r="5972" spans="23:23" ht="20.25" customHeight="1">
      <c r="W5972" s="253"/>
    </row>
    <row r="5973" spans="23:23" ht="20.25" customHeight="1">
      <c r="W5973" s="253"/>
    </row>
    <row r="5974" spans="23:23" ht="20.25" customHeight="1">
      <c r="W5974" s="253"/>
    </row>
    <row r="5975" spans="23:23" ht="20.25" customHeight="1">
      <c r="W5975" s="253"/>
    </row>
    <row r="5976" spans="23:23" ht="20.25" customHeight="1">
      <c r="W5976" s="253"/>
    </row>
    <row r="5977" spans="23:23" ht="20.25" customHeight="1">
      <c r="W5977" s="253"/>
    </row>
    <row r="5978" spans="23:23" ht="20.25" customHeight="1">
      <c r="W5978" s="253"/>
    </row>
    <row r="5979" spans="23:23" ht="20.25" customHeight="1">
      <c r="W5979" s="253"/>
    </row>
    <row r="5980" spans="23:23" ht="20.25" customHeight="1">
      <c r="W5980" s="253"/>
    </row>
    <row r="5981" spans="23:23" ht="20.25" customHeight="1">
      <c r="W5981" s="253"/>
    </row>
    <row r="5982" spans="23:23" ht="20.25" customHeight="1">
      <c r="W5982" s="253"/>
    </row>
    <row r="5983" spans="23:23" ht="20.25" customHeight="1">
      <c r="W5983" s="253"/>
    </row>
    <row r="5984" spans="23:23" ht="20.25" customHeight="1">
      <c r="W5984" s="253"/>
    </row>
    <row r="5985" spans="23:23" ht="20.25" customHeight="1">
      <c r="W5985" s="253"/>
    </row>
    <row r="5986" spans="23:23" ht="20.25" customHeight="1">
      <c r="W5986" s="253"/>
    </row>
    <row r="5987" spans="23:23" ht="20.25" customHeight="1">
      <c r="W5987" s="253"/>
    </row>
    <row r="5988" spans="23:23" ht="20.25" customHeight="1">
      <c r="W5988" s="253"/>
    </row>
    <row r="5989" spans="23:23" ht="20.25" customHeight="1">
      <c r="W5989" s="253"/>
    </row>
    <row r="5990" spans="23:23" ht="20.25" customHeight="1">
      <c r="W5990" s="253"/>
    </row>
    <row r="5991" spans="23:23" ht="20.25" customHeight="1">
      <c r="W5991" s="253"/>
    </row>
    <row r="5992" spans="23:23" ht="20.25" customHeight="1">
      <c r="W5992" s="253"/>
    </row>
    <row r="5993" spans="23:23" ht="20.25" customHeight="1">
      <c r="W5993" s="253"/>
    </row>
    <row r="5994" spans="23:23" ht="20.25" customHeight="1">
      <c r="W5994" s="253"/>
    </row>
    <row r="5995" spans="23:23" ht="20.25" customHeight="1">
      <c r="W5995" s="253"/>
    </row>
    <row r="5996" spans="23:23" ht="20.25" customHeight="1">
      <c r="W5996" s="253"/>
    </row>
    <row r="5997" spans="23:23" ht="20.25" customHeight="1">
      <c r="W5997" s="253"/>
    </row>
    <row r="5998" spans="23:23" ht="20.25" customHeight="1">
      <c r="W5998" s="253"/>
    </row>
    <row r="5999" spans="23:23" ht="20.25" customHeight="1">
      <c r="W5999" s="253"/>
    </row>
    <row r="6000" spans="23:23" ht="20.25" customHeight="1">
      <c r="W6000" s="253"/>
    </row>
    <row r="6001" spans="23:23" ht="20.25" customHeight="1">
      <c r="W6001" s="253"/>
    </row>
    <row r="6002" spans="23:23" ht="20.25" customHeight="1">
      <c r="W6002" s="253"/>
    </row>
    <row r="6003" spans="23:23" ht="20.25" customHeight="1">
      <c r="W6003" s="253"/>
    </row>
    <row r="6004" spans="23:23" ht="20.25" customHeight="1">
      <c r="W6004" s="253"/>
    </row>
    <row r="6005" spans="23:23" ht="20.25" customHeight="1">
      <c r="W6005" s="253"/>
    </row>
    <row r="6006" spans="23:23" ht="20.25" customHeight="1">
      <c r="W6006" s="253"/>
    </row>
    <row r="6007" spans="23:23" ht="20.25" customHeight="1">
      <c r="W6007" s="253"/>
    </row>
    <row r="6008" spans="23:23" ht="20.25" customHeight="1">
      <c r="W6008" s="253"/>
    </row>
    <row r="6009" spans="23:23" ht="20.25" customHeight="1">
      <c r="W6009" s="253"/>
    </row>
    <row r="6010" spans="23:23" ht="20.25" customHeight="1">
      <c r="W6010" s="253"/>
    </row>
    <row r="6011" spans="23:23" ht="20.25" customHeight="1">
      <c r="W6011" s="253"/>
    </row>
    <row r="6012" spans="23:23" ht="20.25" customHeight="1">
      <c r="W6012" s="253"/>
    </row>
    <row r="6013" spans="23:23" ht="20.25" customHeight="1">
      <c r="W6013" s="253"/>
    </row>
    <row r="6014" spans="23:23" ht="20.25" customHeight="1">
      <c r="W6014" s="253"/>
    </row>
    <row r="6015" spans="23:23" ht="20.25" customHeight="1">
      <c r="W6015" s="253"/>
    </row>
    <row r="6016" spans="23:23" ht="20.25" customHeight="1">
      <c r="W6016" s="253"/>
    </row>
    <row r="6017" spans="23:23" ht="20.25" customHeight="1">
      <c r="W6017" s="253"/>
    </row>
    <row r="6018" spans="23:23" ht="20.25" customHeight="1">
      <c r="W6018" s="253"/>
    </row>
    <row r="6019" spans="23:23" ht="20.25" customHeight="1">
      <c r="W6019" s="253"/>
    </row>
    <row r="6020" spans="23:23" ht="20.25" customHeight="1">
      <c r="W6020" s="253"/>
    </row>
    <row r="6021" spans="23:23" ht="20.25" customHeight="1">
      <c r="W6021" s="253"/>
    </row>
    <row r="6022" spans="23:23" ht="20.25" customHeight="1">
      <c r="W6022" s="253"/>
    </row>
    <row r="6023" spans="23:23" ht="20.25" customHeight="1">
      <c r="W6023" s="253"/>
    </row>
    <row r="6024" spans="23:23" ht="20.25" customHeight="1">
      <c r="W6024" s="253"/>
    </row>
    <row r="6025" spans="23:23" ht="20.25" customHeight="1">
      <c r="W6025" s="253"/>
    </row>
    <row r="6026" spans="23:23" ht="20.25" customHeight="1">
      <c r="W6026" s="253"/>
    </row>
    <row r="6027" spans="23:23" ht="20.25" customHeight="1">
      <c r="W6027" s="253"/>
    </row>
    <row r="6028" spans="23:23" ht="20.25" customHeight="1">
      <c r="W6028" s="253"/>
    </row>
    <row r="6029" spans="23:23" ht="20.25" customHeight="1">
      <c r="W6029" s="253"/>
    </row>
    <row r="6030" spans="23:23" ht="20.25" customHeight="1">
      <c r="W6030" s="253"/>
    </row>
    <row r="6031" spans="23:23" ht="20.25" customHeight="1">
      <c r="W6031" s="253"/>
    </row>
    <row r="6032" spans="23:23" ht="20.25" customHeight="1">
      <c r="W6032" s="253"/>
    </row>
    <row r="6033" spans="23:23" ht="20.25" customHeight="1">
      <c r="W6033" s="253"/>
    </row>
    <row r="6034" spans="23:23" ht="20.25" customHeight="1">
      <c r="W6034" s="253"/>
    </row>
    <row r="6035" spans="23:23" ht="20.25" customHeight="1">
      <c r="W6035" s="253"/>
    </row>
    <row r="6036" spans="23:23" ht="20.25" customHeight="1">
      <c r="W6036" s="253"/>
    </row>
    <row r="6037" spans="23:23" ht="20.25" customHeight="1">
      <c r="W6037" s="253"/>
    </row>
    <row r="6038" spans="23:23" ht="20.25" customHeight="1">
      <c r="W6038" s="253"/>
    </row>
    <row r="6039" spans="23:23" ht="20.25" customHeight="1">
      <c r="W6039" s="253"/>
    </row>
    <row r="6040" spans="23:23" ht="20.25" customHeight="1">
      <c r="W6040" s="253"/>
    </row>
    <row r="6041" spans="23:23" ht="20.25" customHeight="1">
      <c r="W6041" s="253"/>
    </row>
    <row r="6042" spans="23:23" ht="20.25" customHeight="1">
      <c r="W6042" s="253"/>
    </row>
    <row r="6043" spans="23:23" ht="20.25" customHeight="1">
      <c r="W6043" s="253"/>
    </row>
    <row r="6044" spans="23:23" ht="20.25" customHeight="1">
      <c r="W6044" s="253"/>
    </row>
    <row r="6045" spans="23:23" ht="20.25" customHeight="1">
      <c r="W6045" s="253"/>
    </row>
    <row r="6046" spans="23:23" ht="20.25" customHeight="1">
      <c r="W6046" s="253"/>
    </row>
    <row r="6047" spans="23:23" ht="20.25" customHeight="1">
      <c r="W6047" s="253"/>
    </row>
    <row r="6048" spans="23:23" ht="20.25" customHeight="1">
      <c r="W6048" s="253"/>
    </row>
    <row r="6049" spans="23:23" ht="20.25" customHeight="1">
      <c r="W6049" s="253"/>
    </row>
    <row r="6050" spans="23:23" ht="20.25" customHeight="1">
      <c r="W6050" s="253"/>
    </row>
    <row r="6051" spans="23:23" ht="20.25" customHeight="1">
      <c r="W6051" s="253"/>
    </row>
    <row r="6052" spans="23:23" ht="20.25" customHeight="1">
      <c r="W6052" s="253"/>
    </row>
    <row r="6053" spans="23:23" ht="20.25" customHeight="1">
      <c r="W6053" s="253"/>
    </row>
    <row r="6054" spans="23:23" ht="20.25" customHeight="1">
      <c r="W6054" s="253"/>
    </row>
    <row r="6055" spans="23:23" ht="20.25" customHeight="1">
      <c r="W6055" s="253"/>
    </row>
    <row r="6056" spans="23:23" ht="20.25" customHeight="1">
      <c r="W6056" s="253"/>
    </row>
    <row r="6057" spans="23:23" ht="20.25" customHeight="1">
      <c r="W6057" s="253"/>
    </row>
    <row r="6058" spans="23:23" ht="20.25" customHeight="1">
      <c r="W6058" s="253"/>
    </row>
    <row r="6059" spans="23:23" ht="20.25" customHeight="1">
      <c r="W6059" s="253"/>
    </row>
    <row r="6060" spans="23:23" ht="20.25" customHeight="1">
      <c r="W6060" s="253"/>
    </row>
    <row r="6061" spans="23:23" ht="20.25" customHeight="1">
      <c r="W6061" s="253"/>
    </row>
    <row r="6062" spans="23:23" ht="20.25" customHeight="1">
      <c r="W6062" s="253"/>
    </row>
    <row r="6063" spans="23:23" ht="20.25" customHeight="1">
      <c r="W6063" s="253"/>
    </row>
    <row r="6064" spans="23:23" ht="20.25" customHeight="1">
      <c r="W6064" s="253"/>
    </row>
    <row r="6065" spans="23:23" ht="20.25" customHeight="1">
      <c r="W6065" s="253"/>
    </row>
    <row r="6066" spans="23:23" ht="20.25" customHeight="1">
      <c r="W6066" s="253"/>
    </row>
    <row r="6067" spans="23:23" ht="20.25" customHeight="1">
      <c r="W6067" s="253"/>
    </row>
    <row r="6068" spans="23:23" ht="20.25" customHeight="1">
      <c r="W6068" s="253"/>
    </row>
    <row r="6069" spans="23:23" ht="20.25" customHeight="1">
      <c r="W6069" s="253"/>
    </row>
    <row r="6070" spans="23:23" ht="20.25" customHeight="1">
      <c r="W6070" s="253"/>
    </row>
    <row r="6071" spans="23:23" ht="20.25" customHeight="1">
      <c r="W6071" s="253"/>
    </row>
    <row r="6072" spans="23:23" ht="20.25" customHeight="1">
      <c r="W6072" s="253"/>
    </row>
    <row r="6073" spans="23:23" ht="20.25" customHeight="1">
      <c r="W6073" s="253"/>
    </row>
    <row r="6074" spans="23:23" ht="20.25" customHeight="1">
      <c r="W6074" s="253"/>
    </row>
    <row r="6075" spans="23:23" ht="20.25" customHeight="1">
      <c r="W6075" s="253"/>
    </row>
    <row r="6076" spans="23:23" ht="20.25" customHeight="1">
      <c r="W6076" s="253"/>
    </row>
    <row r="6077" spans="23:23" ht="20.25" customHeight="1">
      <c r="W6077" s="253"/>
    </row>
    <row r="6078" spans="23:23" ht="20.25" customHeight="1">
      <c r="W6078" s="253"/>
    </row>
    <row r="6079" spans="23:23" ht="20.25" customHeight="1">
      <c r="W6079" s="253"/>
    </row>
    <row r="6080" spans="23:23" ht="20.25" customHeight="1">
      <c r="W6080" s="253"/>
    </row>
    <row r="6081" spans="23:23" ht="20.25" customHeight="1">
      <c r="W6081" s="253"/>
    </row>
    <row r="6082" spans="23:23" ht="20.25" customHeight="1">
      <c r="W6082" s="253"/>
    </row>
    <row r="6083" spans="23:23" ht="20.25" customHeight="1">
      <c r="W6083" s="253"/>
    </row>
    <row r="6084" spans="23:23" ht="20.25" customHeight="1">
      <c r="W6084" s="253"/>
    </row>
    <row r="6085" spans="23:23" ht="20.25" customHeight="1">
      <c r="W6085" s="253"/>
    </row>
    <row r="6086" spans="23:23" ht="20.25" customHeight="1">
      <c r="W6086" s="253"/>
    </row>
    <row r="6087" spans="23:23" ht="20.25" customHeight="1">
      <c r="W6087" s="253"/>
    </row>
    <row r="6088" spans="23:23" ht="20.25" customHeight="1">
      <c r="W6088" s="253"/>
    </row>
    <row r="6089" spans="23:23" ht="20.25" customHeight="1">
      <c r="W6089" s="253"/>
    </row>
    <row r="6090" spans="23:23" ht="20.25" customHeight="1">
      <c r="W6090" s="253"/>
    </row>
    <row r="6091" spans="23:23" ht="20.25" customHeight="1">
      <c r="W6091" s="253"/>
    </row>
    <row r="6092" spans="23:23" ht="20.25" customHeight="1">
      <c r="W6092" s="253"/>
    </row>
    <row r="6093" spans="23:23" ht="20.25" customHeight="1">
      <c r="W6093" s="253"/>
    </row>
    <row r="6094" spans="23:23" ht="20.25" customHeight="1">
      <c r="W6094" s="253"/>
    </row>
    <row r="6095" spans="23:23" ht="20.25" customHeight="1">
      <c r="W6095" s="253"/>
    </row>
    <row r="6096" spans="23:23" ht="20.25" customHeight="1">
      <c r="W6096" s="253"/>
    </row>
    <row r="6097" spans="23:23" ht="20.25" customHeight="1">
      <c r="W6097" s="253"/>
    </row>
    <row r="6098" spans="23:23" ht="20.25" customHeight="1">
      <c r="W6098" s="253"/>
    </row>
    <row r="6099" spans="23:23" ht="20.25" customHeight="1">
      <c r="W6099" s="253"/>
    </row>
    <row r="6100" spans="23:23" ht="20.25" customHeight="1">
      <c r="W6100" s="253"/>
    </row>
    <row r="6101" spans="23:23" ht="20.25" customHeight="1">
      <c r="W6101" s="253"/>
    </row>
    <row r="6102" spans="23:23" ht="20.25" customHeight="1">
      <c r="W6102" s="253"/>
    </row>
    <row r="6103" spans="23:23" ht="20.25" customHeight="1">
      <c r="W6103" s="253"/>
    </row>
    <row r="6104" spans="23:23" ht="20.25" customHeight="1">
      <c r="W6104" s="253"/>
    </row>
    <row r="6105" spans="23:23" ht="20.25" customHeight="1">
      <c r="W6105" s="253"/>
    </row>
    <row r="6106" spans="23:23" ht="20.25" customHeight="1">
      <c r="W6106" s="253"/>
    </row>
    <row r="6107" spans="23:23" ht="20.25" customHeight="1">
      <c r="W6107" s="253"/>
    </row>
    <row r="6108" spans="23:23" ht="20.25" customHeight="1">
      <c r="W6108" s="253"/>
    </row>
    <row r="6109" spans="23:23" ht="20.25" customHeight="1">
      <c r="W6109" s="253"/>
    </row>
    <row r="6110" spans="23:23" ht="20.25" customHeight="1">
      <c r="W6110" s="253"/>
    </row>
    <row r="6111" spans="23:23" ht="20.25" customHeight="1">
      <c r="W6111" s="253"/>
    </row>
    <row r="6112" spans="23:23" ht="20.25" customHeight="1">
      <c r="W6112" s="253"/>
    </row>
    <row r="6113" spans="23:23" ht="20.25" customHeight="1">
      <c r="W6113" s="253"/>
    </row>
    <row r="6114" spans="23:23" ht="20.25" customHeight="1">
      <c r="W6114" s="253"/>
    </row>
    <row r="6115" spans="23:23" ht="20.25" customHeight="1">
      <c r="W6115" s="253"/>
    </row>
    <row r="6116" spans="23:23" ht="20.25" customHeight="1">
      <c r="W6116" s="253"/>
    </row>
    <row r="6117" spans="23:23" ht="20.25" customHeight="1">
      <c r="W6117" s="253"/>
    </row>
    <row r="6118" spans="23:23" ht="20.25" customHeight="1">
      <c r="W6118" s="253"/>
    </row>
    <row r="6119" spans="23:23" ht="20.25" customHeight="1">
      <c r="W6119" s="253"/>
    </row>
    <row r="6120" spans="23:23" ht="20.25" customHeight="1">
      <c r="W6120" s="253"/>
    </row>
    <row r="6121" spans="23:23" ht="20.25" customHeight="1">
      <c r="W6121" s="253"/>
    </row>
    <row r="6122" spans="23:23" ht="20.25" customHeight="1">
      <c r="W6122" s="253"/>
    </row>
    <row r="6123" spans="23:23" ht="20.25" customHeight="1">
      <c r="W6123" s="253"/>
    </row>
    <row r="6124" spans="23:23" ht="20.25" customHeight="1">
      <c r="W6124" s="253"/>
    </row>
    <row r="6125" spans="23:23" ht="20.25" customHeight="1">
      <c r="W6125" s="253"/>
    </row>
    <row r="6126" spans="23:23" ht="20.25" customHeight="1">
      <c r="W6126" s="253"/>
    </row>
    <row r="6127" spans="23:23" ht="20.25" customHeight="1">
      <c r="W6127" s="253"/>
    </row>
    <row r="6128" spans="23:23" ht="20.25" customHeight="1">
      <c r="W6128" s="253"/>
    </row>
    <row r="6129" spans="23:23" ht="20.25" customHeight="1">
      <c r="W6129" s="253"/>
    </row>
    <row r="6130" spans="23:23" ht="20.25" customHeight="1">
      <c r="W6130" s="253"/>
    </row>
    <row r="6131" spans="23:23" ht="20.25" customHeight="1">
      <c r="W6131" s="253"/>
    </row>
    <row r="6132" spans="23:23" ht="20.25" customHeight="1">
      <c r="W6132" s="253"/>
    </row>
    <row r="6133" spans="23:23" ht="20.25" customHeight="1">
      <c r="W6133" s="253"/>
    </row>
    <row r="6134" spans="23:23" ht="20.25" customHeight="1">
      <c r="W6134" s="253"/>
    </row>
    <row r="6135" spans="23:23" ht="20.25" customHeight="1">
      <c r="W6135" s="253"/>
    </row>
    <row r="6136" spans="23:23" ht="20.25" customHeight="1">
      <c r="W6136" s="253"/>
    </row>
    <row r="6137" spans="23:23" ht="20.25" customHeight="1">
      <c r="W6137" s="253"/>
    </row>
    <row r="6138" spans="23:23" ht="20.25" customHeight="1">
      <c r="W6138" s="253"/>
    </row>
    <row r="6139" spans="23:23" ht="20.25" customHeight="1">
      <c r="W6139" s="253"/>
    </row>
    <row r="6140" spans="23:23" ht="20.25" customHeight="1">
      <c r="W6140" s="253"/>
    </row>
    <row r="6141" spans="23:23" ht="20.25" customHeight="1">
      <c r="W6141" s="253"/>
    </row>
    <row r="6142" spans="23:23" ht="20.25" customHeight="1">
      <c r="W6142" s="253"/>
    </row>
    <row r="6143" spans="23:23" ht="20.25" customHeight="1">
      <c r="W6143" s="253"/>
    </row>
    <row r="6144" spans="23:23" ht="20.25" customHeight="1">
      <c r="W6144" s="253"/>
    </row>
    <row r="6145" spans="23:23" ht="20.25" customHeight="1">
      <c r="W6145" s="253"/>
    </row>
    <row r="6146" spans="23:23" ht="20.25" customHeight="1">
      <c r="W6146" s="253"/>
    </row>
    <row r="6147" spans="23:23" ht="20.25" customHeight="1">
      <c r="W6147" s="253"/>
    </row>
    <row r="6148" spans="23:23" ht="20.25" customHeight="1">
      <c r="W6148" s="253"/>
    </row>
    <row r="6149" spans="23:23" ht="20.25" customHeight="1">
      <c r="W6149" s="253"/>
    </row>
    <row r="6150" spans="23:23" ht="20.25" customHeight="1">
      <c r="W6150" s="253"/>
    </row>
    <row r="6151" spans="23:23" ht="20.25" customHeight="1">
      <c r="W6151" s="253"/>
    </row>
    <row r="6152" spans="23:23" ht="20.25" customHeight="1">
      <c r="W6152" s="253"/>
    </row>
    <row r="6153" spans="23:23" ht="20.25" customHeight="1">
      <c r="W6153" s="253"/>
    </row>
    <row r="6154" spans="23:23" ht="20.25" customHeight="1">
      <c r="W6154" s="253"/>
    </row>
    <row r="6155" spans="23:23" ht="20.25" customHeight="1">
      <c r="W6155" s="253"/>
    </row>
    <row r="6156" spans="23:23" ht="20.25" customHeight="1">
      <c r="W6156" s="253"/>
    </row>
    <row r="6157" spans="23:23" ht="20.25" customHeight="1">
      <c r="W6157" s="253"/>
    </row>
    <row r="6158" spans="23:23" ht="20.25" customHeight="1">
      <c r="W6158" s="253"/>
    </row>
    <row r="6159" spans="23:23" ht="20.25" customHeight="1">
      <c r="W6159" s="253"/>
    </row>
    <row r="6160" spans="23:23" ht="20.25" customHeight="1">
      <c r="W6160" s="253"/>
    </row>
    <row r="6161" spans="23:23" ht="20.25" customHeight="1">
      <c r="W6161" s="253"/>
    </row>
    <row r="6162" spans="23:23" ht="20.25" customHeight="1">
      <c r="W6162" s="253"/>
    </row>
    <row r="6163" spans="23:23" ht="20.25" customHeight="1">
      <c r="W6163" s="253"/>
    </row>
    <row r="6164" spans="23:23" ht="20.25" customHeight="1">
      <c r="W6164" s="253"/>
    </row>
    <row r="6165" spans="23:23" ht="20.25" customHeight="1">
      <c r="W6165" s="253"/>
    </row>
    <row r="6166" spans="23:23" ht="20.25" customHeight="1">
      <c r="W6166" s="253"/>
    </row>
    <row r="6167" spans="23:23" ht="20.25" customHeight="1">
      <c r="W6167" s="253"/>
    </row>
    <row r="6168" spans="23:23" ht="20.25" customHeight="1">
      <c r="W6168" s="253"/>
    </row>
    <row r="6169" spans="23:23" ht="20.25" customHeight="1">
      <c r="W6169" s="253"/>
    </row>
    <row r="6170" spans="23:23" ht="20.25" customHeight="1">
      <c r="W6170" s="253"/>
    </row>
    <row r="6171" spans="23:23" ht="20.25" customHeight="1">
      <c r="W6171" s="253"/>
    </row>
    <row r="6172" spans="23:23" ht="20.25" customHeight="1">
      <c r="W6172" s="253"/>
    </row>
    <row r="6173" spans="23:23" ht="20.25" customHeight="1">
      <c r="W6173" s="253"/>
    </row>
    <row r="6174" spans="23:23" ht="20.25" customHeight="1">
      <c r="W6174" s="253"/>
    </row>
    <row r="6175" spans="23:23" ht="20.25" customHeight="1">
      <c r="W6175" s="253"/>
    </row>
    <row r="6176" spans="23:23" ht="20.25" customHeight="1">
      <c r="W6176" s="253"/>
    </row>
    <row r="6177" spans="23:23" ht="20.25" customHeight="1">
      <c r="W6177" s="253"/>
    </row>
    <row r="6178" spans="23:23" ht="20.25" customHeight="1">
      <c r="W6178" s="253"/>
    </row>
    <row r="6179" spans="23:23" ht="20.25" customHeight="1">
      <c r="W6179" s="253"/>
    </row>
    <row r="6180" spans="23:23" ht="20.25" customHeight="1">
      <c r="W6180" s="253"/>
    </row>
    <row r="6181" spans="23:23" ht="20.25" customHeight="1">
      <c r="W6181" s="253"/>
    </row>
    <row r="6182" spans="23:23" ht="20.25" customHeight="1">
      <c r="W6182" s="253"/>
    </row>
    <row r="6183" spans="23:23" ht="20.25" customHeight="1">
      <c r="W6183" s="253"/>
    </row>
    <row r="6184" spans="23:23" ht="20.25" customHeight="1">
      <c r="W6184" s="253"/>
    </row>
    <row r="6185" spans="23:23" ht="20.25" customHeight="1">
      <c r="W6185" s="253"/>
    </row>
    <row r="6186" spans="23:23" ht="20.25" customHeight="1">
      <c r="W6186" s="253"/>
    </row>
    <row r="6187" spans="23:23" ht="20.25" customHeight="1">
      <c r="W6187" s="253"/>
    </row>
    <row r="6188" spans="23:23" ht="20.25" customHeight="1">
      <c r="W6188" s="253"/>
    </row>
    <row r="6189" spans="23:23" ht="20.25" customHeight="1">
      <c r="W6189" s="253"/>
    </row>
    <row r="6190" spans="23:23" ht="20.25" customHeight="1">
      <c r="W6190" s="253"/>
    </row>
    <row r="6191" spans="23:23" ht="20.25" customHeight="1">
      <c r="W6191" s="253"/>
    </row>
    <row r="6192" spans="23:23" ht="20.25" customHeight="1">
      <c r="W6192" s="253"/>
    </row>
    <row r="6193" spans="23:23" ht="20.25" customHeight="1">
      <c r="W6193" s="253"/>
    </row>
    <row r="6194" spans="23:23" ht="20.25" customHeight="1">
      <c r="W6194" s="253"/>
    </row>
    <row r="6195" spans="23:23" ht="20.25" customHeight="1">
      <c r="W6195" s="253"/>
    </row>
    <row r="6196" spans="23:23" ht="20.25" customHeight="1">
      <c r="W6196" s="253"/>
    </row>
    <row r="6197" spans="23:23" ht="20.25" customHeight="1">
      <c r="W6197" s="253"/>
    </row>
    <row r="6198" spans="23:23" ht="20.25" customHeight="1">
      <c r="W6198" s="253"/>
    </row>
    <row r="6199" spans="23:23" ht="20.25" customHeight="1">
      <c r="W6199" s="253"/>
    </row>
    <row r="6200" spans="23:23" ht="20.25" customHeight="1">
      <c r="W6200" s="253"/>
    </row>
    <row r="6201" spans="23:23" ht="20.25" customHeight="1">
      <c r="W6201" s="253"/>
    </row>
    <row r="6202" spans="23:23" ht="20.25" customHeight="1">
      <c r="W6202" s="253"/>
    </row>
    <row r="6203" spans="23:23" ht="20.25" customHeight="1">
      <c r="W6203" s="253"/>
    </row>
    <row r="6204" spans="23:23" ht="20.25" customHeight="1">
      <c r="W6204" s="253"/>
    </row>
    <row r="6205" spans="23:23" ht="20.25" customHeight="1">
      <c r="W6205" s="253"/>
    </row>
    <row r="6206" spans="23:23" ht="20.25" customHeight="1">
      <c r="W6206" s="253"/>
    </row>
    <row r="6207" spans="23:23" ht="20.25" customHeight="1">
      <c r="W6207" s="253"/>
    </row>
    <row r="6208" spans="23:23" ht="20.25" customHeight="1">
      <c r="W6208" s="253"/>
    </row>
    <row r="6209" spans="23:23" ht="20.25" customHeight="1">
      <c r="W6209" s="253"/>
    </row>
    <row r="6210" spans="23:23" ht="20.25" customHeight="1">
      <c r="W6210" s="253"/>
    </row>
    <row r="6211" spans="23:23" ht="20.25" customHeight="1">
      <c r="W6211" s="253"/>
    </row>
    <row r="6212" spans="23:23" ht="20.25" customHeight="1">
      <c r="W6212" s="253"/>
    </row>
    <row r="6213" spans="23:23" ht="20.25" customHeight="1">
      <c r="W6213" s="253"/>
    </row>
    <row r="6214" spans="23:23" ht="20.25" customHeight="1">
      <c r="W6214" s="253"/>
    </row>
    <row r="6215" spans="23:23" ht="20.25" customHeight="1">
      <c r="W6215" s="253"/>
    </row>
    <row r="6216" spans="23:23" ht="20.25" customHeight="1">
      <c r="W6216" s="253"/>
    </row>
    <row r="6217" spans="23:23" ht="20.25" customHeight="1">
      <c r="W6217" s="253"/>
    </row>
    <row r="6218" spans="23:23" ht="20.25" customHeight="1">
      <c r="W6218" s="253"/>
    </row>
    <row r="6219" spans="23:23" ht="20.25" customHeight="1">
      <c r="W6219" s="253"/>
    </row>
    <row r="6220" spans="23:23" ht="20.25" customHeight="1">
      <c r="W6220" s="253"/>
    </row>
    <row r="6221" spans="23:23" ht="20.25" customHeight="1">
      <c r="W6221" s="253"/>
    </row>
    <row r="6222" spans="23:23" ht="20.25" customHeight="1">
      <c r="W6222" s="253"/>
    </row>
    <row r="6223" spans="23:23" ht="20.25" customHeight="1">
      <c r="W6223" s="253"/>
    </row>
    <row r="6224" spans="23:23" ht="20.25" customHeight="1">
      <c r="W6224" s="253"/>
    </row>
    <row r="6225" spans="23:23" ht="20.25" customHeight="1">
      <c r="W6225" s="253"/>
    </row>
    <row r="6226" spans="23:23" ht="20.25" customHeight="1">
      <c r="W6226" s="253"/>
    </row>
    <row r="6227" spans="23:23" ht="20.25" customHeight="1">
      <c r="W6227" s="253"/>
    </row>
    <row r="6228" spans="23:23" ht="20.25" customHeight="1">
      <c r="W6228" s="253"/>
    </row>
    <row r="6229" spans="23:23" ht="20.25" customHeight="1">
      <c r="W6229" s="253"/>
    </row>
    <row r="6230" spans="23:23" ht="20.25" customHeight="1">
      <c r="W6230" s="253"/>
    </row>
    <row r="6231" spans="23:23" ht="20.25" customHeight="1">
      <c r="W6231" s="253"/>
    </row>
    <row r="6232" spans="23:23" ht="20.25" customHeight="1">
      <c r="W6232" s="253"/>
    </row>
    <row r="6233" spans="23:23" ht="20.25" customHeight="1">
      <c r="W6233" s="253"/>
    </row>
    <row r="6234" spans="23:23" ht="20.25" customHeight="1">
      <c r="W6234" s="253"/>
    </row>
    <row r="6235" spans="23:23" ht="20.25" customHeight="1">
      <c r="W6235" s="253"/>
    </row>
    <row r="6236" spans="23:23" ht="20.25" customHeight="1">
      <c r="W6236" s="253"/>
    </row>
    <row r="6237" spans="23:23" ht="20.25" customHeight="1">
      <c r="W6237" s="253"/>
    </row>
    <row r="6238" spans="23:23" ht="20.25" customHeight="1">
      <c r="W6238" s="253"/>
    </row>
    <row r="6239" spans="23:23" ht="20.25" customHeight="1">
      <c r="W6239" s="253"/>
    </row>
    <row r="6240" spans="23:23" ht="20.25" customHeight="1">
      <c r="W6240" s="253"/>
    </row>
    <row r="6241" spans="23:23" ht="20.25" customHeight="1">
      <c r="W6241" s="253"/>
    </row>
    <row r="6242" spans="23:23" ht="20.25" customHeight="1">
      <c r="W6242" s="253"/>
    </row>
    <row r="6243" spans="23:23" ht="20.25" customHeight="1">
      <c r="W6243" s="253"/>
    </row>
    <row r="6244" spans="23:23" ht="20.25" customHeight="1">
      <c r="W6244" s="253"/>
    </row>
    <row r="6245" spans="23:23" ht="20.25" customHeight="1">
      <c r="W6245" s="253"/>
    </row>
    <row r="6246" spans="23:23" ht="20.25" customHeight="1">
      <c r="W6246" s="253"/>
    </row>
    <row r="6247" spans="23:23" ht="20.25" customHeight="1">
      <c r="W6247" s="253"/>
    </row>
    <row r="6248" spans="23:23" ht="20.25" customHeight="1">
      <c r="W6248" s="253"/>
    </row>
    <row r="6249" spans="23:23" ht="20.25" customHeight="1">
      <c r="W6249" s="253"/>
    </row>
    <row r="6250" spans="23:23" ht="20.25" customHeight="1">
      <c r="W6250" s="253"/>
    </row>
    <row r="6251" spans="23:23" ht="20.25" customHeight="1">
      <c r="W6251" s="253"/>
    </row>
    <row r="6252" spans="23:23" ht="20.25" customHeight="1">
      <c r="W6252" s="253"/>
    </row>
    <row r="6253" spans="23:23" ht="20.25" customHeight="1">
      <c r="W6253" s="253"/>
    </row>
    <row r="6254" spans="23:23" ht="20.25" customHeight="1">
      <c r="W6254" s="253"/>
    </row>
    <row r="6255" spans="23:23" ht="20.25" customHeight="1">
      <c r="W6255" s="253"/>
    </row>
    <row r="6256" spans="23:23" ht="20.25" customHeight="1">
      <c r="W6256" s="253"/>
    </row>
    <row r="6257" spans="23:23" ht="20.25" customHeight="1">
      <c r="W6257" s="253"/>
    </row>
    <row r="6258" spans="23:23" ht="20.25" customHeight="1">
      <c r="W6258" s="253"/>
    </row>
    <row r="6259" spans="23:23" ht="20.25" customHeight="1">
      <c r="W6259" s="253"/>
    </row>
    <row r="6260" spans="23:23" ht="20.25" customHeight="1">
      <c r="W6260" s="253"/>
    </row>
    <row r="6261" spans="23:23" ht="20.25" customHeight="1">
      <c r="W6261" s="253"/>
    </row>
    <row r="6262" spans="23:23" ht="20.25" customHeight="1">
      <c r="W6262" s="253"/>
    </row>
    <row r="6263" spans="23:23" ht="20.25" customHeight="1">
      <c r="W6263" s="253"/>
    </row>
    <row r="6264" spans="23:23" ht="20.25" customHeight="1">
      <c r="W6264" s="253"/>
    </row>
    <row r="6265" spans="23:23" ht="20.25" customHeight="1">
      <c r="W6265" s="253"/>
    </row>
    <row r="6266" spans="23:23" ht="20.25" customHeight="1">
      <c r="W6266" s="253"/>
    </row>
    <row r="6267" spans="23:23" ht="20.25" customHeight="1">
      <c r="W6267" s="253"/>
    </row>
    <row r="6268" spans="23:23" ht="20.25" customHeight="1">
      <c r="W6268" s="253"/>
    </row>
    <row r="6269" spans="23:23" ht="20.25" customHeight="1">
      <c r="W6269" s="253"/>
    </row>
    <row r="6270" spans="23:23" ht="20.25" customHeight="1">
      <c r="W6270" s="253"/>
    </row>
    <row r="6271" spans="23:23" ht="20.25" customHeight="1">
      <c r="W6271" s="253"/>
    </row>
    <row r="6272" spans="23:23" ht="20.25" customHeight="1">
      <c r="W6272" s="253"/>
    </row>
    <row r="6273" spans="23:23" ht="20.25" customHeight="1">
      <c r="W6273" s="253"/>
    </row>
    <row r="6274" spans="23:23" ht="20.25" customHeight="1">
      <c r="W6274" s="253"/>
    </row>
    <row r="6275" spans="23:23" ht="20.25" customHeight="1">
      <c r="W6275" s="253"/>
    </row>
    <row r="6276" spans="23:23" ht="20.25" customHeight="1">
      <c r="W6276" s="253"/>
    </row>
    <row r="6277" spans="23:23" ht="20.25" customHeight="1">
      <c r="W6277" s="253"/>
    </row>
    <row r="6278" spans="23:23" ht="20.25" customHeight="1">
      <c r="W6278" s="253"/>
    </row>
    <row r="6279" spans="23:23" ht="20.25" customHeight="1">
      <c r="W6279" s="253"/>
    </row>
    <row r="6280" spans="23:23" ht="20.25" customHeight="1">
      <c r="W6280" s="253"/>
    </row>
    <row r="6281" spans="23:23" ht="20.25" customHeight="1">
      <c r="W6281" s="253"/>
    </row>
    <row r="6282" spans="23:23" ht="20.25" customHeight="1">
      <c r="W6282" s="253"/>
    </row>
    <row r="6283" spans="23:23" ht="20.25" customHeight="1">
      <c r="W6283" s="253"/>
    </row>
    <row r="6284" spans="23:23" ht="20.25" customHeight="1">
      <c r="W6284" s="253"/>
    </row>
    <row r="6285" spans="23:23" ht="20.25" customHeight="1">
      <c r="W6285" s="253"/>
    </row>
    <row r="6286" spans="23:23" ht="20.25" customHeight="1">
      <c r="W6286" s="253"/>
    </row>
    <row r="6287" spans="23:23" ht="20.25" customHeight="1">
      <c r="W6287" s="253"/>
    </row>
    <row r="6288" spans="23:23" ht="20.25" customHeight="1">
      <c r="W6288" s="253"/>
    </row>
    <row r="6289" spans="23:23" ht="20.25" customHeight="1">
      <c r="W6289" s="253"/>
    </row>
    <row r="6290" spans="23:23" ht="20.25" customHeight="1">
      <c r="W6290" s="253"/>
    </row>
    <row r="6291" spans="23:23" ht="20.25" customHeight="1">
      <c r="W6291" s="253"/>
    </row>
    <row r="6292" spans="23:23" ht="20.25" customHeight="1">
      <c r="W6292" s="253"/>
    </row>
    <row r="6293" spans="23:23" ht="20.25" customHeight="1">
      <c r="W6293" s="253"/>
    </row>
    <row r="6294" spans="23:23" ht="20.25" customHeight="1">
      <c r="W6294" s="253"/>
    </row>
    <row r="6295" spans="23:23" ht="20.25" customHeight="1">
      <c r="W6295" s="253"/>
    </row>
    <row r="6296" spans="23:23" ht="20.25" customHeight="1">
      <c r="W6296" s="253"/>
    </row>
    <row r="6297" spans="23:23" ht="20.25" customHeight="1">
      <c r="W6297" s="253"/>
    </row>
    <row r="6298" spans="23:23" ht="20.25" customHeight="1">
      <c r="W6298" s="253"/>
    </row>
    <row r="6299" spans="23:23" ht="20.25" customHeight="1">
      <c r="W6299" s="253"/>
    </row>
    <row r="6300" spans="23:23" ht="20.25" customHeight="1">
      <c r="W6300" s="253"/>
    </row>
    <row r="6301" spans="23:23" ht="20.25" customHeight="1">
      <c r="W6301" s="253"/>
    </row>
    <row r="6302" spans="23:23" ht="20.25" customHeight="1">
      <c r="W6302" s="253"/>
    </row>
    <row r="6303" spans="23:23" ht="20.25" customHeight="1">
      <c r="W6303" s="253"/>
    </row>
    <row r="6304" spans="23:23" ht="20.25" customHeight="1">
      <c r="W6304" s="253"/>
    </row>
    <row r="6305" spans="23:23" ht="20.25" customHeight="1">
      <c r="W6305" s="253"/>
    </row>
    <row r="6306" spans="23:23" ht="20.25" customHeight="1">
      <c r="W6306" s="253"/>
    </row>
    <row r="6307" spans="23:23" ht="20.25" customHeight="1">
      <c r="W6307" s="253"/>
    </row>
    <row r="6308" spans="23:23" ht="20.25" customHeight="1">
      <c r="W6308" s="253"/>
    </row>
    <row r="6309" spans="23:23" ht="20.25" customHeight="1">
      <c r="W6309" s="253"/>
    </row>
    <row r="6310" spans="23:23" ht="20.25" customHeight="1">
      <c r="W6310" s="253"/>
    </row>
    <row r="6311" spans="23:23" ht="20.25" customHeight="1">
      <c r="W6311" s="253"/>
    </row>
    <row r="6312" spans="23:23" ht="20.25" customHeight="1">
      <c r="W6312" s="253"/>
    </row>
    <row r="6313" spans="23:23" ht="20.25" customHeight="1">
      <c r="W6313" s="253"/>
    </row>
    <row r="6314" spans="23:23" ht="20.25" customHeight="1">
      <c r="W6314" s="253"/>
    </row>
    <row r="6315" spans="23:23" ht="20.25" customHeight="1">
      <c r="W6315" s="253"/>
    </row>
    <row r="6316" spans="23:23" ht="20.25" customHeight="1">
      <c r="W6316" s="253"/>
    </row>
    <row r="6317" spans="23:23" ht="20.25" customHeight="1">
      <c r="W6317" s="253"/>
    </row>
    <row r="6318" spans="23:23" ht="20.25" customHeight="1">
      <c r="W6318" s="253"/>
    </row>
    <row r="6319" spans="23:23" ht="20.25" customHeight="1">
      <c r="W6319" s="253"/>
    </row>
    <row r="6320" spans="23:23" ht="20.25" customHeight="1">
      <c r="W6320" s="253"/>
    </row>
    <row r="6321" spans="23:23" ht="20.25" customHeight="1">
      <c r="W6321" s="253"/>
    </row>
    <row r="6322" spans="23:23" ht="20.25" customHeight="1">
      <c r="W6322" s="253"/>
    </row>
    <row r="6323" spans="23:23" ht="20.25" customHeight="1">
      <c r="W6323" s="253"/>
    </row>
    <row r="6324" spans="23:23" ht="20.25" customHeight="1">
      <c r="W6324" s="253"/>
    </row>
    <row r="6325" spans="23:23" ht="20.25" customHeight="1">
      <c r="W6325" s="253"/>
    </row>
    <row r="6326" spans="23:23" ht="20.25" customHeight="1">
      <c r="W6326" s="253"/>
    </row>
    <row r="6327" spans="23:23" ht="20.25" customHeight="1">
      <c r="W6327" s="253"/>
    </row>
    <row r="6328" spans="23:23" ht="20.25" customHeight="1">
      <c r="W6328" s="253"/>
    </row>
    <row r="6329" spans="23:23" ht="20.25" customHeight="1">
      <c r="W6329" s="253"/>
    </row>
    <row r="6330" spans="23:23" ht="20.25" customHeight="1">
      <c r="W6330" s="253"/>
    </row>
    <row r="6331" spans="23:23" ht="20.25" customHeight="1">
      <c r="W6331" s="253"/>
    </row>
    <row r="6332" spans="23:23" ht="20.25" customHeight="1">
      <c r="W6332" s="253"/>
    </row>
    <row r="6333" spans="23:23" ht="20.25" customHeight="1">
      <c r="W6333" s="253"/>
    </row>
    <row r="6334" spans="23:23" ht="20.25" customHeight="1">
      <c r="W6334" s="253"/>
    </row>
    <row r="6335" spans="23:23" ht="20.25" customHeight="1">
      <c r="W6335" s="253"/>
    </row>
    <row r="6336" spans="23:23" ht="20.25" customHeight="1">
      <c r="W6336" s="253"/>
    </row>
    <row r="6337" spans="23:23" ht="20.25" customHeight="1">
      <c r="W6337" s="253"/>
    </row>
    <row r="6338" spans="23:23" ht="20.25" customHeight="1">
      <c r="W6338" s="253"/>
    </row>
    <row r="6339" spans="23:23" ht="20.25" customHeight="1">
      <c r="W6339" s="253"/>
    </row>
    <row r="6340" spans="23:23" ht="20.25" customHeight="1">
      <c r="W6340" s="253"/>
    </row>
    <row r="6341" spans="23:23" ht="20.25" customHeight="1">
      <c r="W6341" s="253"/>
    </row>
    <row r="6342" spans="23:23" ht="20.25" customHeight="1">
      <c r="W6342" s="253"/>
    </row>
    <row r="6343" spans="23:23" ht="20.25" customHeight="1">
      <c r="W6343" s="253"/>
    </row>
    <row r="6344" spans="23:23" ht="20.25" customHeight="1">
      <c r="W6344" s="253"/>
    </row>
    <row r="6345" spans="23:23" ht="20.25" customHeight="1">
      <c r="W6345" s="253"/>
    </row>
    <row r="6346" spans="23:23" ht="20.25" customHeight="1">
      <c r="W6346" s="253"/>
    </row>
    <row r="6347" spans="23:23" ht="20.25" customHeight="1">
      <c r="W6347" s="253"/>
    </row>
    <row r="6348" spans="23:23" ht="20.25" customHeight="1">
      <c r="W6348" s="253"/>
    </row>
    <row r="6349" spans="23:23" ht="20.25" customHeight="1">
      <c r="W6349" s="253"/>
    </row>
    <row r="6350" spans="23:23" ht="20.25" customHeight="1">
      <c r="W6350" s="253"/>
    </row>
    <row r="6351" spans="23:23" ht="20.25" customHeight="1">
      <c r="W6351" s="253"/>
    </row>
    <row r="6352" spans="23:23" ht="20.25" customHeight="1">
      <c r="W6352" s="253"/>
    </row>
    <row r="6353" spans="23:23" ht="20.25" customHeight="1">
      <c r="W6353" s="253"/>
    </row>
    <row r="6354" spans="23:23" ht="20.25" customHeight="1">
      <c r="W6354" s="253"/>
    </row>
    <row r="6355" spans="23:23" ht="20.25" customHeight="1">
      <c r="W6355" s="253"/>
    </row>
    <row r="6356" spans="23:23" ht="20.25" customHeight="1">
      <c r="W6356" s="253"/>
    </row>
    <row r="6357" spans="23:23" ht="20.25" customHeight="1">
      <c r="W6357" s="253"/>
    </row>
    <row r="6358" spans="23:23" ht="20.25" customHeight="1">
      <c r="W6358" s="253"/>
    </row>
    <row r="6359" spans="23:23" ht="20.25" customHeight="1">
      <c r="W6359" s="253"/>
    </row>
    <row r="6360" spans="23:23" ht="20.25" customHeight="1">
      <c r="W6360" s="253"/>
    </row>
    <row r="6361" spans="23:23" ht="20.25" customHeight="1">
      <c r="W6361" s="253"/>
    </row>
    <row r="6362" spans="23:23" ht="20.25" customHeight="1">
      <c r="W6362" s="253"/>
    </row>
    <row r="6363" spans="23:23" ht="20.25" customHeight="1">
      <c r="W6363" s="253"/>
    </row>
    <row r="6364" spans="23:23" ht="20.25" customHeight="1">
      <c r="W6364" s="253"/>
    </row>
    <row r="6365" spans="23:23" ht="20.25" customHeight="1">
      <c r="W6365" s="253"/>
    </row>
    <row r="6366" spans="23:23" ht="20.25" customHeight="1">
      <c r="W6366" s="253"/>
    </row>
    <row r="6367" spans="23:23" ht="20.25" customHeight="1">
      <c r="W6367" s="253"/>
    </row>
    <row r="6368" spans="23:23" ht="20.25" customHeight="1">
      <c r="W6368" s="253"/>
    </row>
    <row r="6369" spans="23:23" ht="20.25" customHeight="1">
      <c r="W6369" s="253"/>
    </row>
    <row r="6370" spans="23:23" ht="20.25" customHeight="1">
      <c r="W6370" s="253"/>
    </row>
    <row r="6371" spans="23:23" ht="20.25" customHeight="1">
      <c r="W6371" s="253"/>
    </row>
    <row r="6372" spans="23:23" ht="20.25" customHeight="1">
      <c r="W6372" s="253"/>
    </row>
    <row r="6373" spans="23:23" ht="20.25" customHeight="1">
      <c r="W6373" s="253"/>
    </row>
    <row r="6374" spans="23:23" ht="20.25" customHeight="1">
      <c r="W6374" s="253"/>
    </row>
    <row r="6375" spans="23:23" ht="20.25" customHeight="1">
      <c r="W6375" s="253"/>
    </row>
    <row r="6376" spans="23:23" ht="20.25" customHeight="1">
      <c r="W6376" s="253"/>
    </row>
    <row r="6377" spans="23:23" ht="20.25" customHeight="1">
      <c r="W6377" s="253"/>
    </row>
    <row r="6378" spans="23:23" ht="20.25" customHeight="1">
      <c r="W6378" s="253"/>
    </row>
    <row r="6379" spans="23:23" ht="20.25" customHeight="1">
      <c r="W6379" s="253"/>
    </row>
    <row r="6380" spans="23:23" ht="20.25" customHeight="1">
      <c r="W6380" s="253"/>
    </row>
    <row r="6381" spans="23:23" ht="20.25" customHeight="1">
      <c r="W6381" s="253"/>
    </row>
    <row r="6382" spans="23:23" ht="20.25" customHeight="1">
      <c r="W6382" s="253"/>
    </row>
    <row r="6383" spans="23:23" ht="20.25" customHeight="1">
      <c r="W6383" s="253"/>
    </row>
    <row r="6384" spans="23:23" ht="20.25" customHeight="1">
      <c r="W6384" s="253"/>
    </row>
    <row r="6385" spans="23:23" ht="20.25" customHeight="1">
      <c r="W6385" s="253"/>
    </row>
    <row r="6386" spans="23:23" ht="20.25" customHeight="1">
      <c r="W6386" s="253"/>
    </row>
    <row r="6387" spans="23:23" ht="20.25" customHeight="1">
      <c r="W6387" s="253"/>
    </row>
    <row r="6388" spans="23:23" ht="20.25" customHeight="1">
      <c r="W6388" s="253"/>
    </row>
    <row r="6389" spans="23:23" ht="20.25" customHeight="1">
      <c r="W6389" s="253"/>
    </row>
    <row r="6390" spans="23:23" ht="20.25" customHeight="1">
      <c r="W6390" s="253"/>
    </row>
    <row r="6391" spans="23:23" ht="20.25" customHeight="1">
      <c r="W6391" s="253"/>
    </row>
    <row r="6392" spans="23:23" ht="20.25" customHeight="1">
      <c r="W6392" s="253"/>
    </row>
    <row r="6393" spans="23:23" ht="20.25" customHeight="1">
      <c r="W6393" s="253"/>
    </row>
    <row r="6394" spans="23:23" ht="20.25" customHeight="1">
      <c r="W6394" s="253"/>
    </row>
    <row r="6395" spans="23:23" ht="20.25" customHeight="1">
      <c r="W6395" s="253"/>
    </row>
    <row r="6396" spans="23:23" ht="20.25" customHeight="1">
      <c r="W6396" s="253"/>
    </row>
    <row r="6397" spans="23:23" ht="20.25" customHeight="1">
      <c r="W6397" s="253"/>
    </row>
    <row r="6398" spans="23:23" ht="20.25" customHeight="1">
      <c r="W6398" s="253"/>
    </row>
    <row r="6399" spans="23:23" ht="20.25" customHeight="1">
      <c r="W6399" s="253"/>
    </row>
    <row r="6400" spans="23:23" ht="20.25" customHeight="1">
      <c r="W6400" s="253"/>
    </row>
    <row r="6401" spans="23:23" ht="20.25" customHeight="1">
      <c r="W6401" s="253"/>
    </row>
    <row r="6402" spans="23:23" ht="20.25" customHeight="1">
      <c r="W6402" s="253"/>
    </row>
    <row r="6403" spans="23:23" ht="20.25" customHeight="1">
      <c r="W6403" s="253"/>
    </row>
    <row r="6404" spans="23:23" ht="20.25" customHeight="1">
      <c r="W6404" s="253"/>
    </row>
    <row r="6405" spans="23:23" ht="20.25" customHeight="1">
      <c r="W6405" s="253"/>
    </row>
    <row r="6406" spans="23:23" ht="20.25" customHeight="1">
      <c r="W6406" s="253"/>
    </row>
    <row r="6407" spans="23:23" ht="20.25" customHeight="1">
      <c r="W6407" s="253"/>
    </row>
    <row r="6408" spans="23:23" ht="20.25" customHeight="1">
      <c r="W6408" s="253"/>
    </row>
    <row r="6409" spans="23:23" ht="20.25" customHeight="1">
      <c r="W6409" s="253"/>
    </row>
    <row r="6410" spans="23:23" ht="20.25" customHeight="1">
      <c r="W6410" s="253"/>
    </row>
    <row r="6411" spans="23:23" ht="20.25" customHeight="1">
      <c r="W6411" s="253"/>
    </row>
    <row r="6412" spans="23:23" ht="20.25" customHeight="1">
      <c r="W6412" s="253"/>
    </row>
    <row r="6413" spans="23:23" ht="20.25" customHeight="1">
      <c r="W6413" s="253"/>
    </row>
    <row r="6414" spans="23:23" ht="20.25" customHeight="1">
      <c r="W6414" s="253"/>
    </row>
    <row r="6415" spans="23:23" ht="20.25" customHeight="1">
      <c r="W6415" s="253"/>
    </row>
    <row r="6416" spans="23:23" ht="20.25" customHeight="1">
      <c r="W6416" s="253"/>
    </row>
    <row r="6417" spans="23:23" ht="20.25" customHeight="1">
      <c r="W6417" s="253"/>
    </row>
    <row r="6418" spans="23:23" ht="20.25" customHeight="1">
      <c r="W6418" s="253"/>
    </row>
    <row r="6419" spans="23:23" ht="20.25" customHeight="1">
      <c r="W6419" s="253"/>
    </row>
    <row r="6420" spans="23:23" ht="20.25" customHeight="1">
      <c r="W6420" s="253"/>
    </row>
    <row r="6421" spans="23:23" ht="20.25" customHeight="1">
      <c r="W6421" s="253"/>
    </row>
    <row r="6422" spans="23:23" ht="20.25" customHeight="1">
      <c r="W6422" s="253"/>
    </row>
    <row r="6423" spans="23:23" ht="20.25" customHeight="1">
      <c r="W6423" s="253"/>
    </row>
    <row r="6424" spans="23:23" ht="20.25" customHeight="1">
      <c r="W6424" s="253"/>
    </row>
    <row r="6425" spans="23:23" ht="20.25" customHeight="1">
      <c r="W6425" s="253"/>
    </row>
    <row r="6426" spans="23:23" ht="20.25" customHeight="1">
      <c r="W6426" s="253"/>
    </row>
    <row r="6427" spans="23:23" ht="20.25" customHeight="1">
      <c r="W6427" s="253"/>
    </row>
    <row r="6428" spans="23:23" ht="20.25" customHeight="1">
      <c r="W6428" s="253"/>
    </row>
    <row r="6429" spans="23:23" ht="20.25" customHeight="1">
      <c r="W6429" s="253"/>
    </row>
    <row r="6430" spans="23:23" ht="20.25" customHeight="1">
      <c r="W6430" s="253"/>
    </row>
    <row r="6431" spans="23:23" ht="20.25" customHeight="1">
      <c r="W6431" s="253"/>
    </row>
    <row r="6432" spans="23:23" ht="20.25" customHeight="1">
      <c r="W6432" s="253"/>
    </row>
    <row r="6433" spans="23:23" ht="20.25" customHeight="1">
      <c r="W6433" s="253"/>
    </row>
    <row r="6434" spans="23:23" ht="20.25" customHeight="1">
      <c r="W6434" s="253"/>
    </row>
    <row r="6435" spans="23:23" ht="20.25" customHeight="1">
      <c r="W6435" s="253"/>
    </row>
    <row r="6436" spans="23:23" ht="20.25" customHeight="1">
      <c r="W6436" s="253"/>
    </row>
    <row r="6437" spans="23:23" ht="20.25" customHeight="1">
      <c r="W6437" s="253"/>
    </row>
    <row r="6438" spans="23:23" ht="20.25" customHeight="1">
      <c r="W6438" s="253"/>
    </row>
    <row r="6439" spans="23:23" ht="20.25" customHeight="1">
      <c r="W6439" s="253"/>
    </row>
    <row r="6440" spans="23:23" ht="20.25" customHeight="1">
      <c r="W6440" s="253"/>
    </row>
    <row r="6441" spans="23:23" ht="20.25" customHeight="1">
      <c r="W6441" s="253"/>
    </row>
    <row r="6442" spans="23:23" ht="20.25" customHeight="1">
      <c r="W6442" s="253"/>
    </row>
    <row r="6443" spans="23:23" ht="20.25" customHeight="1">
      <c r="W6443" s="253"/>
    </row>
    <row r="6444" spans="23:23" ht="20.25" customHeight="1">
      <c r="W6444" s="253"/>
    </row>
    <row r="6445" spans="23:23" ht="20.25" customHeight="1">
      <c r="W6445" s="253"/>
    </row>
    <row r="6446" spans="23:23" ht="20.25" customHeight="1">
      <c r="W6446" s="253"/>
    </row>
    <row r="6447" spans="23:23" ht="20.25" customHeight="1">
      <c r="W6447" s="253"/>
    </row>
    <row r="6448" spans="23:23" ht="20.25" customHeight="1">
      <c r="W6448" s="253"/>
    </row>
    <row r="6449" spans="23:23" ht="20.25" customHeight="1">
      <c r="W6449" s="253"/>
    </row>
    <row r="6450" spans="23:23" ht="20.25" customHeight="1">
      <c r="W6450" s="253"/>
    </row>
    <row r="6451" spans="23:23" ht="20.25" customHeight="1">
      <c r="W6451" s="253"/>
    </row>
    <row r="6452" spans="23:23" ht="20.25" customHeight="1">
      <c r="W6452" s="253"/>
    </row>
    <row r="6453" spans="23:23" ht="20.25" customHeight="1">
      <c r="W6453" s="253"/>
    </row>
    <row r="6454" spans="23:23" ht="20.25" customHeight="1">
      <c r="W6454" s="253"/>
    </row>
    <row r="6455" spans="23:23" ht="20.25" customHeight="1">
      <c r="W6455" s="253"/>
    </row>
    <row r="6456" spans="23:23" ht="20.25" customHeight="1">
      <c r="W6456" s="253"/>
    </row>
    <row r="6457" spans="23:23" ht="20.25" customHeight="1">
      <c r="W6457" s="253"/>
    </row>
    <row r="6458" spans="23:23" ht="20.25" customHeight="1">
      <c r="W6458" s="253"/>
    </row>
    <row r="6459" spans="23:23" ht="20.25" customHeight="1">
      <c r="W6459" s="253"/>
    </row>
    <row r="6460" spans="23:23" ht="20.25" customHeight="1">
      <c r="W6460" s="253"/>
    </row>
    <row r="6461" spans="23:23" ht="20.25" customHeight="1">
      <c r="W6461" s="253"/>
    </row>
    <row r="6462" spans="23:23" ht="20.25" customHeight="1">
      <c r="W6462" s="253"/>
    </row>
    <row r="6463" spans="23:23" ht="20.25" customHeight="1">
      <c r="W6463" s="253"/>
    </row>
    <row r="6464" spans="23:23" ht="20.25" customHeight="1">
      <c r="W6464" s="253"/>
    </row>
    <row r="6465" spans="23:23" ht="20.25" customHeight="1">
      <c r="W6465" s="253"/>
    </row>
    <row r="6466" spans="23:23" ht="20.25" customHeight="1">
      <c r="W6466" s="253"/>
    </row>
    <row r="6467" spans="23:23" ht="20.25" customHeight="1">
      <c r="W6467" s="253"/>
    </row>
    <row r="6468" spans="23:23" ht="20.25" customHeight="1">
      <c r="W6468" s="253"/>
    </row>
    <row r="6469" spans="23:23" ht="20.25" customHeight="1">
      <c r="W6469" s="253"/>
    </row>
    <row r="6470" spans="23:23" ht="20.25" customHeight="1">
      <c r="W6470" s="253"/>
    </row>
    <row r="6471" spans="23:23" ht="20.25" customHeight="1">
      <c r="W6471" s="253"/>
    </row>
    <row r="6472" spans="23:23" ht="20.25" customHeight="1">
      <c r="W6472" s="253"/>
    </row>
    <row r="6473" spans="23:23" ht="20.25" customHeight="1">
      <c r="W6473" s="253"/>
    </row>
    <row r="6474" spans="23:23" ht="20.25" customHeight="1">
      <c r="W6474" s="253"/>
    </row>
    <row r="6475" spans="23:23" ht="20.25" customHeight="1">
      <c r="W6475" s="253"/>
    </row>
    <row r="6476" spans="23:23" ht="20.25" customHeight="1">
      <c r="W6476" s="253"/>
    </row>
    <row r="6477" spans="23:23" ht="20.25" customHeight="1">
      <c r="W6477" s="253"/>
    </row>
    <row r="6478" spans="23:23" ht="20.25" customHeight="1">
      <c r="W6478" s="253"/>
    </row>
    <row r="6479" spans="23:23" ht="20.25" customHeight="1">
      <c r="W6479" s="253"/>
    </row>
    <row r="6480" spans="23:23" ht="20.25" customHeight="1">
      <c r="W6480" s="253"/>
    </row>
    <row r="6481" spans="23:23" ht="20.25" customHeight="1">
      <c r="W6481" s="253"/>
    </row>
    <row r="6482" spans="23:23" ht="20.25" customHeight="1">
      <c r="W6482" s="253"/>
    </row>
    <row r="6483" spans="23:23" ht="20.25" customHeight="1">
      <c r="W6483" s="253"/>
    </row>
    <row r="6484" spans="23:23" ht="20.25" customHeight="1">
      <c r="W6484" s="253"/>
    </row>
    <row r="6485" spans="23:23" ht="20.25" customHeight="1">
      <c r="W6485" s="253"/>
    </row>
    <row r="6486" spans="23:23" ht="20.25" customHeight="1">
      <c r="W6486" s="253"/>
    </row>
    <row r="6487" spans="23:23" ht="20.25" customHeight="1">
      <c r="W6487" s="253"/>
    </row>
    <row r="6488" spans="23:23" ht="20.25" customHeight="1">
      <c r="W6488" s="253"/>
    </row>
    <row r="6489" spans="23:23" ht="20.25" customHeight="1">
      <c r="W6489" s="253"/>
    </row>
    <row r="6490" spans="23:23" ht="20.25" customHeight="1">
      <c r="W6490" s="253"/>
    </row>
    <row r="6491" spans="23:23" ht="20.25" customHeight="1">
      <c r="W6491" s="253"/>
    </row>
    <row r="6492" spans="23:23" ht="20.25" customHeight="1">
      <c r="W6492" s="253"/>
    </row>
    <row r="6493" spans="23:23" ht="20.25" customHeight="1">
      <c r="W6493" s="253"/>
    </row>
    <row r="6494" spans="23:23" ht="20.25" customHeight="1">
      <c r="W6494" s="253"/>
    </row>
    <row r="6495" spans="23:23" ht="20.25" customHeight="1">
      <c r="W6495" s="253"/>
    </row>
    <row r="6496" spans="23:23" ht="20.25" customHeight="1">
      <c r="W6496" s="253"/>
    </row>
    <row r="6497" spans="23:23" ht="20.25" customHeight="1">
      <c r="W6497" s="253"/>
    </row>
    <row r="6498" spans="23:23" ht="20.25" customHeight="1">
      <c r="W6498" s="253"/>
    </row>
    <row r="6499" spans="23:23" ht="20.25" customHeight="1">
      <c r="W6499" s="253"/>
    </row>
    <row r="6500" spans="23:23" ht="20.25" customHeight="1">
      <c r="W6500" s="253"/>
    </row>
    <row r="6501" spans="23:23" ht="20.25" customHeight="1">
      <c r="W6501" s="253"/>
    </row>
    <row r="6502" spans="23:23" ht="20.25" customHeight="1">
      <c r="W6502" s="253"/>
    </row>
    <row r="6503" spans="23:23" ht="20.25" customHeight="1">
      <c r="W6503" s="253"/>
    </row>
    <row r="6504" spans="23:23" ht="20.25" customHeight="1">
      <c r="W6504" s="253"/>
    </row>
    <row r="6505" spans="23:23" ht="20.25" customHeight="1">
      <c r="W6505" s="253"/>
    </row>
    <row r="6506" spans="23:23" ht="20.25" customHeight="1">
      <c r="W6506" s="253"/>
    </row>
    <row r="6507" spans="23:23" ht="20.25" customHeight="1">
      <c r="W6507" s="253"/>
    </row>
    <row r="6508" spans="23:23" ht="20.25" customHeight="1">
      <c r="W6508" s="253"/>
    </row>
    <row r="6509" spans="23:23" ht="20.25" customHeight="1">
      <c r="W6509" s="253"/>
    </row>
    <row r="6510" spans="23:23" ht="20.25" customHeight="1">
      <c r="W6510" s="253"/>
    </row>
    <row r="6511" spans="23:23" ht="20.25" customHeight="1">
      <c r="W6511" s="253"/>
    </row>
    <row r="6512" spans="23:23" ht="20.25" customHeight="1">
      <c r="W6512" s="253"/>
    </row>
    <row r="6513" spans="23:23" ht="20.25" customHeight="1">
      <c r="W6513" s="253"/>
    </row>
    <row r="6514" spans="23:23" ht="20.25" customHeight="1">
      <c r="W6514" s="253"/>
    </row>
    <row r="6515" spans="23:23" ht="20.25" customHeight="1">
      <c r="W6515" s="253"/>
    </row>
    <row r="6516" spans="23:23" ht="20.25" customHeight="1">
      <c r="W6516" s="253"/>
    </row>
    <row r="6517" spans="23:23" ht="20.25" customHeight="1">
      <c r="W6517" s="253"/>
    </row>
    <row r="6518" spans="23:23" ht="20.25" customHeight="1">
      <c r="W6518" s="253"/>
    </row>
    <row r="6519" spans="23:23" ht="20.25" customHeight="1">
      <c r="W6519" s="253"/>
    </row>
    <row r="6520" spans="23:23" ht="20.25" customHeight="1">
      <c r="W6520" s="253"/>
    </row>
    <row r="6521" spans="23:23" ht="20.25" customHeight="1">
      <c r="W6521" s="253"/>
    </row>
    <row r="6522" spans="23:23" ht="20.25" customHeight="1">
      <c r="W6522" s="253"/>
    </row>
    <row r="6523" spans="23:23" ht="20.25" customHeight="1">
      <c r="W6523" s="253"/>
    </row>
    <row r="6524" spans="23:23" ht="20.25" customHeight="1">
      <c r="W6524" s="253"/>
    </row>
    <row r="6525" spans="23:23" ht="20.25" customHeight="1">
      <c r="W6525" s="253"/>
    </row>
    <row r="6526" spans="23:23" ht="20.25" customHeight="1">
      <c r="W6526" s="253"/>
    </row>
    <row r="6527" spans="23:23" ht="20.25" customHeight="1">
      <c r="W6527" s="253"/>
    </row>
    <row r="6528" spans="23:23" ht="20.25" customHeight="1">
      <c r="W6528" s="253"/>
    </row>
    <row r="6529" spans="23:23" ht="20.25" customHeight="1">
      <c r="W6529" s="253"/>
    </row>
    <row r="6530" spans="23:23" ht="20.25" customHeight="1">
      <c r="W6530" s="253"/>
    </row>
    <row r="6531" spans="23:23" ht="20.25" customHeight="1">
      <c r="W6531" s="253"/>
    </row>
    <row r="6532" spans="23:23" ht="20.25" customHeight="1">
      <c r="W6532" s="253"/>
    </row>
    <row r="6533" spans="23:23" ht="20.25" customHeight="1">
      <c r="W6533" s="253"/>
    </row>
    <row r="6534" spans="23:23" ht="20.25" customHeight="1">
      <c r="W6534" s="253"/>
    </row>
    <row r="6535" spans="23:23" ht="20.25" customHeight="1">
      <c r="W6535" s="253"/>
    </row>
    <row r="6536" spans="23:23" ht="20.25" customHeight="1">
      <c r="W6536" s="253"/>
    </row>
    <row r="6537" spans="23:23" ht="20.25" customHeight="1">
      <c r="W6537" s="253"/>
    </row>
    <row r="6538" spans="23:23" ht="20.25" customHeight="1">
      <c r="W6538" s="253"/>
    </row>
    <row r="6539" spans="23:23" ht="20.25" customHeight="1">
      <c r="W6539" s="253"/>
    </row>
    <row r="6540" spans="23:23" ht="20.25" customHeight="1">
      <c r="W6540" s="253"/>
    </row>
    <row r="6541" spans="23:23" ht="20.25" customHeight="1">
      <c r="W6541" s="253"/>
    </row>
    <row r="6542" spans="23:23" ht="20.25" customHeight="1">
      <c r="W6542" s="253"/>
    </row>
    <row r="6543" spans="23:23" ht="20.25" customHeight="1">
      <c r="W6543" s="253"/>
    </row>
    <row r="6544" spans="23:23" ht="20.25" customHeight="1">
      <c r="W6544" s="253"/>
    </row>
    <row r="6545" spans="23:23" ht="20.25" customHeight="1">
      <c r="W6545" s="253"/>
    </row>
    <row r="6546" spans="23:23" ht="20.25" customHeight="1">
      <c r="W6546" s="253"/>
    </row>
    <row r="6547" spans="23:23" ht="20.25" customHeight="1">
      <c r="W6547" s="253"/>
    </row>
    <row r="6548" spans="23:23" ht="20.25" customHeight="1">
      <c r="W6548" s="253"/>
    </row>
    <row r="6549" spans="23:23" ht="20.25" customHeight="1">
      <c r="W6549" s="253"/>
    </row>
    <row r="6550" spans="23:23" ht="20.25" customHeight="1">
      <c r="W6550" s="253"/>
    </row>
    <row r="6551" spans="23:23" ht="20.25" customHeight="1">
      <c r="W6551" s="253"/>
    </row>
    <row r="6552" spans="23:23" ht="20.25" customHeight="1">
      <c r="W6552" s="253"/>
    </row>
    <row r="6553" spans="23:23" ht="20.25" customHeight="1">
      <c r="W6553" s="253"/>
    </row>
    <row r="6554" spans="23:23" ht="20.25" customHeight="1">
      <c r="W6554" s="253"/>
    </row>
    <row r="6555" spans="23:23" ht="20.25" customHeight="1">
      <c r="W6555" s="253"/>
    </row>
    <row r="6556" spans="23:23" ht="20.25" customHeight="1">
      <c r="W6556" s="253"/>
    </row>
    <row r="6557" spans="23:23" ht="20.25" customHeight="1">
      <c r="W6557" s="253"/>
    </row>
    <row r="6558" spans="23:23" ht="20.25" customHeight="1">
      <c r="W6558" s="253"/>
    </row>
    <row r="6559" spans="23:23" ht="20.25" customHeight="1">
      <c r="W6559" s="253"/>
    </row>
    <row r="6560" spans="23:23" ht="20.25" customHeight="1">
      <c r="W6560" s="253"/>
    </row>
    <row r="6561" spans="23:23" ht="20.25" customHeight="1">
      <c r="W6561" s="253"/>
    </row>
    <row r="6562" spans="23:23" ht="20.25" customHeight="1">
      <c r="W6562" s="253"/>
    </row>
    <row r="6563" spans="23:23" ht="20.25" customHeight="1">
      <c r="W6563" s="253"/>
    </row>
    <row r="6564" spans="23:23" ht="20.25" customHeight="1">
      <c r="W6564" s="253"/>
    </row>
    <row r="6565" spans="23:23" ht="20.25" customHeight="1">
      <c r="W6565" s="253"/>
    </row>
    <row r="6566" spans="23:23" ht="20.25" customHeight="1">
      <c r="W6566" s="253"/>
    </row>
    <row r="6567" spans="23:23" ht="20.25" customHeight="1">
      <c r="W6567" s="253"/>
    </row>
    <row r="6568" spans="23:23" ht="20.25" customHeight="1">
      <c r="W6568" s="253"/>
    </row>
    <row r="6569" spans="23:23" ht="20.25" customHeight="1">
      <c r="W6569" s="253"/>
    </row>
    <row r="6570" spans="23:23" ht="20.25" customHeight="1">
      <c r="W6570" s="253"/>
    </row>
    <row r="6571" spans="23:23" ht="20.25" customHeight="1">
      <c r="W6571" s="253"/>
    </row>
    <row r="6572" spans="23:23" ht="20.25" customHeight="1">
      <c r="W6572" s="253"/>
    </row>
    <row r="6573" spans="23:23" ht="20.25" customHeight="1">
      <c r="W6573" s="253"/>
    </row>
    <row r="6574" spans="23:23" ht="20.25" customHeight="1">
      <c r="W6574" s="253"/>
    </row>
    <row r="6575" spans="23:23" ht="20.25" customHeight="1">
      <c r="W6575" s="253"/>
    </row>
    <row r="6576" spans="23:23" ht="20.25" customHeight="1">
      <c r="W6576" s="253"/>
    </row>
    <row r="6577" spans="23:23" ht="20.25" customHeight="1">
      <c r="W6577" s="253"/>
    </row>
    <row r="6578" spans="23:23" ht="20.25" customHeight="1">
      <c r="W6578" s="253"/>
    </row>
    <row r="6579" spans="23:23" ht="20.25" customHeight="1">
      <c r="W6579" s="253"/>
    </row>
    <row r="6580" spans="23:23" ht="20.25" customHeight="1">
      <c r="W6580" s="253"/>
    </row>
    <row r="6581" spans="23:23" ht="20.25" customHeight="1">
      <c r="W6581" s="253"/>
    </row>
    <row r="6582" spans="23:23" ht="20.25" customHeight="1">
      <c r="W6582" s="253"/>
    </row>
    <row r="6583" spans="23:23" ht="20.25" customHeight="1">
      <c r="W6583" s="253"/>
    </row>
    <row r="6584" spans="23:23" ht="20.25" customHeight="1">
      <c r="W6584" s="253"/>
    </row>
    <row r="6585" spans="23:23" ht="20.25" customHeight="1">
      <c r="W6585" s="253"/>
    </row>
    <row r="6586" spans="23:23" ht="20.25" customHeight="1">
      <c r="W6586" s="253"/>
    </row>
    <row r="6587" spans="23:23" ht="20.25" customHeight="1">
      <c r="W6587" s="253"/>
    </row>
    <row r="6588" spans="23:23" ht="20.25" customHeight="1">
      <c r="W6588" s="253"/>
    </row>
    <row r="6589" spans="23:23" ht="20.25" customHeight="1">
      <c r="W6589" s="253"/>
    </row>
    <row r="6590" spans="23:23" ht="20.25" customHeight="1">
      <c r="W6590" s="253"/>
    </row>
    <row r="6591" spans="23:23" ht="20.25" customHeight="1">
      <c r="W6591" s="253"/>
    </row>
    <row r="6592" spans="23:23" ht="20.25" customHeight="1">
      <c r="W6592" s="253"/>
    </row>
    <row r="6593" spans="23:23" ht="20.25" customHeight="1">
      <c r="W6593" s="253"/>
    </row>
    <row r="6594" spans="23:23" ht="20.25" customHeight="1">
      <c r="W6594" s="253"/>
    </row>
    <row r="6595" spans="23:23" ht="20.25" customHeight="1">
      <c r="W6595" s="253"/>
    </row>
    <row r="6596" spans="23:23" ht="20.25" customHeight="1">
      <c r="W6596" s="253"/>
    </row>
    <row r="6597" spans="23:23" ht="20.25" customHeight="1">
      <c r="W6597" s="253"/>
    </row>
    <row r="6598" spans="23:23" ht="20.25" customHeight="1">
      <c r="W6598" s="253"/>
    </row>
    <row r="6599" spans="23:23" ht="20.25" customHeight="1">
      <c r="W6599" s="253"/>
    </row>
    <row r="6600" spans="23:23" ht="20.25" customHeight="1">
      <c r="W6600" s="253"/>
    </row>
    <row r="6601" spans="23:23" ht="20.25" customHeight="1">
      <c r="W6601" s="253"/>
    </row>
    <row r="6602" spans="23:23" ht="20.25" customHeight="1">
      <c r="W6602" s="253"/>
    </row>
    <row r="6603" spans="23:23" ht="20.25" customHeight="1">
      <c r="W6603" s="253"/>
    </row>
    <row r="6604" spans="23:23" ht="20.25" customHeight="1">
      <c r="W6604" s="253"/>
    </row>
    <row r="6605" spans="23:23" ht="20.25" customHeight="1">
      <c r="W6605" s="253"/>
    </row>
    <row r="6606" spans="23:23" ht="20.25" customHeight="1">
      <c r="W6606" s="253"/>
    </row>
    <row r="6607" spans="23:23" ht="20.25" customHeight="1">
      <c r="W6607" s="253"/>
    </row>
    <row r="6608" spans="23:23" ht="20.25" customHeight="1">
      <c r="W6608" s="253"/>
    </row>
    <row r="6609" spans="23:23" ht="20.25" customHeight="1">
      <c r="W6609" s="253"/>
    </row>
    <row r="6610" spans="23:23" ht="20.25" customHeight="1">
      <c r="W6610" s="253"/>
    </row>
    <row r="6611" spans="23:23" ht="20.25" customHeight="1">
      <c r="W6611" s="253"/>
    </row>
    <row r="6612" spans="23:23" ht="20.25" customHeight="1">
      <c r="W6612" s="253"/>
    </row>
    <row r="6613" spans="23:23" ht="20.25" customHeight="1">
      <c r="W6613" s="253"/>
    </row>
    <row r="6614" spans="23:23" ht="20.25" customHeight="1">
      <c r="W6614" s="253"/>
    </row>
    <row r="6615" spans="23:23" ht="20.25" customHeight="1">
      <c r="W6615" s="253"/>
    </row>
    <row r="6616" spans="23:23" ht="20.25" customHeight="1">
      <c r="W6616" s="253"/>
    </row>
    <row r="6617" spans="23:23" ht="20.25" customHeight="1">
      <c r="W6617" s="253"/>
    </row>
    <row r="6618" spans="23:23" ht="20.25" customHeight="1">
      <c r="W6618" s="253"/>
    </row>
    <row r="6619" spans="23:23" ht="20.25" customHeight="1">
      <c r="W6619" s="253"/>
    </row>
    <row r="6620" spans="23:23" ht="20.25" customHeight="1">
      <c r="W6620" s="253"/>
    </row>
    <row r="6621" spans="23:23" ht="20.25" customHeight="1">
      <c r="W6621" s="253"/>
    </row>
    <row r="6622" spans="23:23" ht="20.25" customHeight="1">
      <c r="W6622" s="253"/>
    </row>
    <row r="6623" spans="23:23" ht="20.25" customHeight="1">
      <c r="W6623" s="253"/>
    </row>
    <row r="6624" spans="23:23" ht="20.25" customHeight="1">
      <c r="W6624" s="253"/>
    </row>
    <row r="6625" spans="23:23" ht="20.25" customHeight="1">
      <c r="W6625" s="253"/>
    </row>
    <row r="6626" spans="23:23" ht="20.25" customHeight="1">
      <c r="W6626" s="253"/>
    </row>
    <row r="6627" spans="23:23" ht="20.25" customHeight="1">
      <c r="W6627" s="253"/>
    </row>
    <row r="6628" spans="23:23" ht="20.25" customHeight="1">
      <c r="W6628" s="253"/>
    </row>
    <row r="6629" spans="23:23" ht="20.25" customHeight="1">
      <c r="W6629" s="253"/>
    </row>
    <row r="6630" spans="23:23" ht="20.25" customHeight="1">
      <c r="W6630" s="253"/>
    </row>
    <row r="6631" spans="23:23" ht="20.25" customHeight="1">
      <c r="W6631" s="253"/>
    </row>
    <row r="6632" spans="23:23" ht="20.25" customHeight="1">
      <c r="W6632" s="253"/>
    </row>
    <row r="6633" spans="23:23" ht="20.25" customHeight="1">
      <c r="W6633" s="253"/>
    </row>
    <row r="6634" spans="23:23" ht="20.25" customHeight="1">
      <c r="W6634" s="253"/>
    </row>
    <row r="6635" spans="23:23" ht="20.25" customHeight="1">
      <c r="W6635" s="253"/>
    </row>
    <row r="6636" spans="23:23" ht="20.25" customHeight="1">
      <c r="W6636" s="253"/>
    </row>
    <row r="6637" spans="23:23" ht="20.25" customHeight="1">
      <c r="W6637" s="253"/>
    </row>
    <row r="6638" spans="23:23" ht="20.25" customHeight="1">
      <c r="W6638" s="253"/>
    </row>
    <row r="6639" spans="23:23" ht="20.25" customHeight="1">
      <c r="W6639" s="253"/>
    </row>
    <row r="6640" spans="23:23" ht="20.25" customHeight="1">
      <c r="W6640" s="253"/>
    </row>
    <row r="6641" spans="23:23" ht="20.25" customHeight="1">
      <c r="W6641" s="253"/>
    </row>
    <row r="6642" spans="23:23" ht="20.25" customHeight="1">
      <c r="W6642" s="253"/>
    </row>
    <row r="6643" spans="23:23" ht="20.25" customHeight="1">
      <c r="W6643" s="253"/>
    </row>
    <row r="6644" spans="23:23" ht="20.25" customHeight="1">
      <c r="W6644" s="253"/>
    </row>
    <row r="6645" spans="23:23" ht="20.25" customHeight="1">
      <c r="W6645" s="253"/>
    </row>
    <row r="6646" spans="23:23" ht="20.25" customHeight="1">
      <c r="W6646" s="253"/>
    </row>
    <row r="6647" spans="23:23" ht="20.25" customHeight="1">
      <c r="W6647" s="253"/>
    </row>
    <row r="6648" spans="23:23" ht="20.25" customHeight="1">
      <c r="W6648" s="253"/>
    </row>
    <row r="6649" spans="23:23" ht="20.25" customHeight="1">
      <c r="W6649" s="253"/>
    </row>
    <row r="6650" spans="23:23" ht="20.25" customHeight="1">
      <c r="W6650" s="253"/>
    </row>
    <row r="6651" spans="23:23" ht="20.25" customHeight="1">
      <c r="W6651" s="253"/>
    </row>
    <row r="6652" spans="23:23" ht="20.25" customHeight="1">
      <c r="W6652" s="253"/>
    </row>
    <row r="6653" spans="23:23" ht="20.25" customHeight="1">
      <c r="W6653" s="253"/>
    </row>
    <row r="6654" spans="23:23" ht="20.25" customHeight="1">
      <c r="W6654" s="253"/>
    </row>
    <row r="6655" spans="23:23" ht="20.25" customHeight="1">
      <c r="W6655" s="253"/>
    </row>
    <row r="6656" spans="23:23" ht="20.25" customHeight="1">
      <c r="W6656" s="253"/>
    </row>
    <row r="6657" spans="23:23" ht="20.25" customHeight="1">
      <c r="W6657" s="253"/>
    </row>
    <row r="6658" spans="23:23" ht="20.25" customHeight="1">
      <c r="W6658" s="253"/>
    </row>
    <row r="6659" spans="23:23" ht="20.25" customHeight="1">
      <c r="W6659" s="253"/>
    </row>
    <row r="6660" spans="23:23" ht="20.25" customHeight="1">
      <c r="W6660" s="253"/>
    </row>
    <row r="6661" spans="23:23" ht="20.25" customHeight="1">
      <c r="W6661" s="253"/>
    </row>
    <row r="6662" spans="23:23" ht="20.25" customHeight="1">
      <c r="W6662" s="253"/>
    </row>
    <row r="6663" spans="23:23" ht="20.25" customHeight="1">
      <c r="W6663" s="253"/>
    </row>
    <row r="6664" spans="23:23" ht="20.25" customHeight="1">
      <c r="W6664" s="253"/>
    </row>
    <row r="6665" spans="23:23" ht="20.25" customHeight="1">
      <c r="W6665" s="253"/>
    </row>
    <row r="6666" spans="23:23" ht="20.25" customHeight="1">
      <c r="W6666" s="253"/>
    </row>
    <row r="6667" spans="23:23" ht="20.25" customHeight="1">
      <c r="W6667" s="253"/>
    </row>
    <row r="6668" spans="23:23" ht="20.25" customHeight="1">
      <c r="W6668" s="253"/>
    </row>
    <row r="6669" spans="23:23" ht="20.25" customHeight="1">
      <c r="W6669" s="253"/>
    </row>
    <row r="6670" spans="23:23" ht="20.25" customHeight="1">
      <c r="W6670" s="253"/>
    </row>
    <row r="6671" spans="23:23" ht="20.25" customHeight="1">
      <c r="W6671" s="253"/>
    </row>
    <row r="6672" spans="23:23" ht="20.25" customHeight="1">
      <c r="W6672" s="253"/>
    </row>
    <row r="6673" spans="23:23" ht="20.25" customHeight="1">
      <c r="W6673" s="253"/>
    </row>
    <row r="6674" spans="23:23" ht="20.25" customHeight="1">
      <c r="W6674" s="253"/>
    </row>
    <row r="6675" spans="23:23" ht="20.25" customHeight="1">
      <c r="W6675" s="253"/>
    </row>
    <row r="6676" spans="23:23" ht="20.25" customHeight="1">
      <c r="W6676" s="253"/>
    </row>
    <row r="6677" spans="23:23" ht="20.25" customHeight="1">
      <c r="W6677" s="253"/>
    </row>
    <row r="6678" spans="23:23" ht="20.25" customHeight="1">
      <c r="W6678" s="253"/>
    </row>
    <row r="6679" spans="23:23" ht="20.25" customHeight="1">
      <c r="W6679" s="253"/>
    </row>
    <row r="6680" spans="23:23" ht="20.25" customHeight="1">
      <c r="W6680" s="253"/>
    </row>
    <row r="6681" spans="23:23" ht="20.25" customHeight="1">
      <c r="W6681" s="253"/>
    </row>
    <row r="6682" spans="23:23" ht="20.25" customHeight="1">
      <c r="W6682" s="253"/>
    </row>
    <row r="6683" spans="23:23" ht="20.25" customHeight="1">
      <c r="W6683" s="253"/>
    </row>
    <row r="6684" spans="23:23" ht="20.25" customHeight="1">
      <c r="W6684" s="253"/>
    </row>
    <row r="6685" spans="23:23" ht="20.25" customHeight="1">
      <c r="W6685" s="253"/>
    </row>
    <row r="6686" spans="23:23" ht="20.25" customHeight="1">
      <c r="W6686" s="253"/>
    </row>
    <row r="6687" spans="23:23" ht="20.25" customHeight="1">
      <c r="W6687" s="253"/>
    </row>
    <row r="6688" spans="23:23" ht="20.25" customHeight="1">
      <c r="W6688" s="253"/>
    </row>
    <row r="6689" spans="23:23" ht="20.25" customHeight="1">
      <c r="W6689" s="253"/>
    </row>
    <row r="6690" spans="23:23" ht="20.25" customHeight="1">
      <c r="W6690" s="253"/>
    </row>
    <row r="6691" spans="23:23" ht="20.25" customHeight="1">
      <c r="W6691" s="253"/>
    </row>
    <row r="6692" spans="23:23" ht="20.25" customHeight="1">
      <c r="W6692" s="253"/>
    </row>
    <row r="6693" spans="23:23" ht="20.25" customHeight="1">
      <c r="W6693" s="253"/>
    </row>
    <row r="6694" spans="23:23" ht="20.25" customHeight="1">
      <c r="W6694" s="253"/>
    </row>
    <row r="6695" spans="23:23" ht="20.25" customHeight="1">
      <c r="W6695" s="253"/>
    </row>
    <row r="6696" spans="23:23" ht="20.25" customHeight="1">
      <c r="W6696" s="253"/>
    </row>
    <row r="6697" spans="23:23" ht="20.25" customHeight="1">
      <c r="W6697" s="253"/>
    </row>
    <row r="6698" spans="23:23" ht="20.25" customHeight="1">
      <c r="W6698" s="253"/>
    </row>
    <row r="6699" spans="23:23" ht="20.25" customHeight="1">
      <c r="W6699" s="253"/>
    </row>
    <row r="6700" spans="23:23" ht="20.25" customHeight="1">
      <c r="W6700" s="253"/>
    </row>
    <row r="6701" spans="23:23" ht="20.25" customHeight="1">
      <c r="W6701" s="253"/>
    </row>
    <row r="6702" spans="23:23" ht="20.25" customHeight="1">
      <c r="W6702" s="253"/>
    </row>
    <row r="6703" spans="23:23" ht="20.25" customHeight="1">
      <c r="W6703" s="253"/>
    </row>
    <row r="6704" spans="23:23" ht="20.25" customHeight="1">
      <c r="W6704" s="253"/>
    </row>
    <row r="6705" spans="23:23" ht="20.25" customHeight="1">
      <c r="W6705" s="253"/>
    </row>
    <row r="6706" spans="23:23" ht="20.25" customHeight="1">
      <c r="W6706" s="253"/>
    </row>
    <row r="6707" spans="23:23" ht="20.25" customHeight="1">
      <c r="W6707" s="253"/>
    </row>
    <row r="6708" spans="23:23" ht="20.25" customHeight="1">
      <c r="W6708" s="253"/>
    </row>
    <row r="6709" spans="23:23" ht="20.25" customHeight="1">
      <c r="W6709" s="253"/>
    </row>
    <row r="6710" spans="23:23" ht="20.25" customHeight="1">
      <c r="W6710" s="253"/>
    </row>
    <row r="6711" spans="23:23" ht="20.25" customHeight="1">
      <c r="W6711" s="253"/>
    </row>
    <row r="6712" spans="23:23" ht="20.25" customHeight="1">
      <c r="W6712" s="253"/>
    </row>
    <row r="6713" spans="23:23" ht="20.25" customHeight="1">
      <c r="W6713" s="253"/>
    </row>
    <row r="6714" spans="23:23" ht="20.25" customHeight="1">
      <c r="W6714" s="253"/>
    </row>
    <row r="6715" spans="23:23" ht="20.25" customHeight="1">
      <c r="W6715" s="253"/>
    </row>
    <row r="6716" spans="23:23" ht="20.25" customHeight="1">
      <c r="W6716" s="253"/>
    </row>
    <row r="6717" spans="23:23" ht="20.25" customHeight="1">
      <c r="W6717" s="253"/>
    </row>
    <row r="6718" spans="23:23" ht="20.25" customHeight="1">
      <c r="W6718" s="253"/>
    </row>
    <row r="6719" spans="23:23" ht="20.25" customHeight="1">
      <c r="W6719" s="253"/>
    </row>
    <row r="6720" spans="23:23" ht="20.25" customHeight="1">
      <c r="W6720" s="253"/>
    </row>
    <row r="6721" spans="23:23" ht="20.25" customHeight="1">
      <c r="W6721" s="253"/>
    </row>
    <row r="6722" spans="23:23" ht="20.25" customHeight="1">
      <c r="W6722" s="253"/>
    </row>
    <row r="6723" spans="23:23" ht="20.25" customHeight="1">
      <c r="W6723" s="253"/>
    </row>
    <row r="6724" spans="23:23" ht="20.25" customHeight="1">
      <c r="W6724" s="253"/>
    </row>
    <row r="6725" spans="23:23" ht="20.25" customHeight="1">
      <c r="W6725" s="253"/>
    </row>
    <row r="6726" spans="23:23" ht="20.25" customHeight="1">
      <c r="W6726" s="253"/>
    </row>
    <row r="6727" spans="23:23" ht="20.25" customHeight="1">
      <c r="W6727" s="253"/>
    </row>
    <row r="6728" spans="23:23" ht="20.25" customHeight="1">
      <c r="W6728" s="253"/>
    </row>
    <row r="6729" spans="23:23" ht="20.25" customHeight="1">
      <c r="W6729" s="253"/>
    </row>
    <row r="6730" spans="23:23" ht="20.25" customHeight="1">
      <c r="W6730" s="253"/>
    </row>
    <row r="6731" spans="23:23" ht="20.25" customHeight="1">
      <c r="W6731" s="253"/>
    </row>
    <row r="6732" spans="23:23" ht="20.25" customHeight="1">
      <c r="W6732" s="253"/>
    </row>
    <row r="6733" spans="23:23" ht="20.25" customHeight="1">
      <c r="W6733" s="253"/>
    </row>
    <row r="6734" spans="23:23" ht="20.25" customHeight="1">
      <c r="W6734" s="253"/>
    </row>
    <row r="6735" spans="23:23" ht="20.25" customHeight="1">
      <c r="W6735" s="253"/>
    </row>
    <row r="6736" spans="23:23" ht="20.25" customHeight="1">
      <c r="W6736" s="253"/>
    </row>
    <row r="6737" spans="23:23" ht="20.25" customHeight="1">
      <c r="W6737" s="253"/>
    </row>
    <row r="6738" spans="23:23" ht="20.25" customHeight="1">
      <c r="W6738" s="253"/>
    </row>
    <row r="6739" spans="23:23" ht="20.25" customHeight="1">
      <c r="W6739" s="253"/>
    </row>
    <row r="6740" spans="23:23" ht="20.25" customHeight="1">
      <c r="W6740" s="253"/>
    </row>
    <row r="6741" spans="23:23" ht="20.25" customHeight="1">
      <c r="W6741" s="253"/>
    </row>
    <row r="6742" spans="23:23" ht="20.25" customHeight="1">
      <c r="W6742" s="253"/>
    </row>
    <row r="6743" spans="23:23" ht="20.25" customHeight="1">
      <c r="W6743" s="253"/>
    </row>
    <row r="6744" spans="23:23" ht="20.25" customHeight="1">
      <c r="W6744" s="253"/>
    </row>
    <row r="6745" spans="23:23" ht="20.25" customHeight="1">
      <c r="W6745" s="253"/>
    </row>
    <row r="6746" spans="23:23" ht="20.25" customHeight="1">
      <c r="W6746" s="253"/>
    </row>
    <row r="6747" spans="23:23" ht="20.25" customHeight="1">
      <c r="W6747" s="253"/>
    </row>
    <row r="6748" spans="23:23" ht="20.25" customHeight="1">
      <c r="W6748" s="253"/>
    </row>
    <row r="6749" spans="23:23" ht="20.25" customHeight="1">
      <c r="W6749" s="253"/>
    </row>
    <row r="6750" spans="23:23" ht="20.25" customHeight="1">
      <c r="W6750" s="253"/>
    </row>
    <row r="6751" spans="23:23" ht="20.25" customHeight="1">
      <c r="W6751" s="253"/>
    </row>
    <row r="6752" spans="23:23" ht="20.25" customHeight="1">
      <c r="W6752" s="253"/>
    </row>
    <row r="6753" spans="23:23" ht="20.25" customHeight="1">
      <c r="W6753" s="253"/>
    </row>
    <row r="6754" spans="23:23" ht="20.25" customHeight="1">
      <c r="W6754" s="253"/>
    </row>
    <row r="6755" spans="23:23" ht="20.25" customHeight="1">
      <c r="W6755" s="253"/>
    </row>
    <row r="6756" spans="23:23" ht="20.25" customHeight="1">
      <c r="W6756" s="253"/>
    </row>
    <row r="6757" spans="23:23" ht="20.25" customHeight="1">
      <c r="W6757" s="253"/>
    </row>
    <row r="6758" spans="23:23" ht="20.25" customHeight="1">
      <c r="W6758" s="253"/>
    </row>
    <row r="6759" spans="23:23" ht="20.25" customHeight="1">
      <c r="W6759" s="253"/>
    </row>
    <row r="6760" spans="23:23" ht="20.25" customHeight="1">
      <c r="W6760" s="253"/>
    </row>
    <row r="6761" spans="23:23" ht="20.25" customHeight="1">
      <c r="W6761" s="253"/>
    </row>
    <row r="6762" spans="23:23" ht="20.25" customHeight="1">
      <c r="W6762" s="253"/>
    </row>
    <row r="6763" spans="23:23" ht="20.25" customHeight="1">
      <c r="W6763" s="253"/>
    </row>
    <row r="6764" spans="23:23" ht="20.25" customHeight="1">
      <c r="W6764" s="253"/>
    </row>
    <row r="6765" spans="23:23" ht="20.25" customHeight="1">
      <c r="W6765" s="253"/>
    </row>
    <row r="6766" spans="23:23" ht="20.25" customHeight="1">
      <c r="W6766" s="253"/>
    </row>
    <row r="6767" spans="23:23" ht="20.25" customHeight="1">
      <c r="W6767" s="253"/>
    </row>
    <row r="6768" spans="23:23" ht="20.25" customHeight="1">
      <c r="W6768" s="253"/>
    </row>
    <row r="6769" spans="23:23" ht="20.25" customHeight="1">
      <c r="W6769" s="253"/>
    </row>
    <row r="6770" spans="23:23" ht="20.25" customHeight="1">
      <c r="W6770" s="253"/>
    </row>
    <row r="6771" spans="23:23" ht="20.25" customHeight="1">
      <c r="W6771" s="253"/>
    </row>
    <row r="6772" spans="23:23" ht="20.25" customHeight="1">
      <c r="W6772" s="253"/>
    </row>
    <row r="6773" spans="23:23" ht="20.25" customHeight="1">
      <c r="W6773" s="253"/>
    </row>
    <row r="6774" spans="23:23" ht="20.25" customHeight="1">
      <c r="W6774" s="253"/>
    </row>
    <row r="6775" spans="23:23" ht="20.25" customHeight="1">
      <c r="W6775" s="253"/>
    </row>
    <row r="6776" spans="23:23" ht="20.25" customHeight="1">
      <c r="W6776" s="253"/>
    </row>
    <row r="6777" spans="23:23" ht="20.25" customHeight="1">
      <c r="W6777" s="253"/>
    </row>
    <row r="6778" spans="23:23" ht="20.25" customHeight="1">
      <c r="W6778" s="253"/>
    </row>
    <row r="6779" spans="23:23" ht="20.25" customHeight="1">
      <c r="W6779" s="253"/>
    </row>
    <row r="6780" spans="23:23" ht="20.25" customHeight="1">
      <c r="W6780" s="253"/>
    </row>
    <row r="6781" spans="23:23" ht="20.25" customHeight="1">
      <c r="W6781" s="253"/>
    </row>
    <row r="6782" spans="23:23" ht="20.25" customHeight="1">
      <c r="W6782" s="253"/>
    </row>
    <row r="6783" spans="23:23" ht="20.25" customHeight="1">
      <c r="W6783" s="253"/>
    </row>
    <row r="6784" spans="23:23" ht="20.25" customHeight="1">
      <c r="W6784" s="253"/>
    </row>
    <row r="6785" spans="23:23" ht="20.25" customHeight="1">
      <c r="W6785" s="253"/>
    </row>
    <row r="6786" spans="23:23" ht="20.25" customHeight="1">
      <c r="W6786" s="253"/>
    </row>
    <row r="6787" spans="23:23" ht="20.25" customHeight="1">
      <c r="W6787" s="253"/>
    </row>
    <row r="6788" spans="23:23" ht="20.25" customHeight="1">
      <c r="W6788" s="253"/>
    </row>
    <row r="6789" spans="23:23" ht="20.25" customHeight="1">
      <c r="W6789" s="253"/>
    </row>
    <row r="6790" spans="23:23" ht="20.25" customHeight="1">
      <c r="W6790" s="253"/>
    </row>
    <row r="6791" spans="23:23" ht="20.25" customHeight="1">
      <c r="W6791" s="253"/>
    </row>
    <row r="6792" spans="23:23" ht="20.25" customHeight="1">
      <c r="W6792" s="253"/>
    </row>
    <row r="6793" spans="23:23" ht="20.25" customHeight="1">
      <c r="W6793" s="253"/>
    </row>
    <row r="6794" spans="23:23" ht="20.25" customHeight="1">
      <c r="W6794" s="253"/>
    </row>
    <row r="6795" spans="23:23" ht="20.25" customHeight="1">
      <c r="W6795" s="253"/>
    </row>
    <row r="6796" spans="23:23" ht="20.25" customHeight="1">
      <c r="W6796" s="253"/>
    </row>
    <row r="6797" spans="23:23" ht="20.25" customHeight="1">
      <c r="W6797" s="253"/>
    </row>
    <row r="6798" spans="23:23" ht="20.25" customHeight="1">
      <c r="W6798" s="253"/>
    </row>
    <row r="6799" spans="23:23" ht="20.25" customHeight="1">
      <c r="W6799" s="253"/>
    </row>
    <row r="6800" spans="23:23" ht="20.25" customHeight="1">
      <c r="W6800" s="253"/>
    </row>
    <row r="6801" spans="23:23" ht="20.25" customHeight="1">
      <c r="W6801" s="253"/>
    </row>
    <row r="6802" spans="23:23" ht="20.25" customHeight="1">
      <c r="W6802" s="253"/>
    </row>
    <row r="6803" spans="23:23" ht="20.25" customHeight="1">
      <c r="W6803" s="253"/>
    </row>
    <row r="6804" spans="23:23" ht="20.25" customHeight="1">
      <c r="W6804" s="253"/>
    </row>
    <row r="6805" spans="23:23" ht="20.25" customHeight="1">
      <c r="W6805" s="253"/>
    </row>
    <row r="6806" spans="23:23" ht="20.25" customHeight="1">
      <c r="W6806" s="253"/>
    </row>
    <row r="6807" spans="23:23" ht="20.25" customHeight="1">
      <c r="W6807" s="253"/>
    </row>
    <row r="6808" spans="23:23" ht="20.25" customHeight="1">
      <c r="W6808" s="253"/>
    </row>
    <row r="6809" spans="23:23" ht="20.25" customHeight="1">
      <c r="W6809" s="253"/>
    </row>
    <row r="6810" spans="23:23" ht="20.25" customHeight="1">
      <c r="W6810" s="253"/>
    </row>
    <row r="6811" spans="23:23" ht="20.25" customHeight="1">
      <c r="W6811" s="253"/>
    </row>
    <row r="6812" spans="23:23" ht="20.25" customHeight="1">
      <c r="W6812" s="253"/>
    </row>
    <row r="6813" spans="23:23" ht="20.25" customHeight="1">
      <c r="W6813" s="253"/>
    </row>
    <row r="6814" spans="23:23" ht="20.25" customHeight="1">
      <c r="W6814" s="253"/>
    </row>
    <row r="6815" spans="23:23" ht="20.25" customHeight="1">
      <c r="W6815" s="253"/>
    </row>
    <row r="6816" spans="23:23" ht="20.25" customHeight="1">
      <c r="W6816" s="253"/>
    </row>
    <row r="6817" spans="23:23" ht="20.25" customHeight="1">
      <c r="W6817" s="253"/>
    </row>
    <row r="6818" spans="23:23" ht="20.25" customHeight="1">
      <c r="W6818" s="253"/>
    </row>
    <row r="6819" spans="23:23" ht="20.25" customHeight="1">
      <c r="W6819" s="253"/>
    </row>
    <row r="6820" spans="23:23" ht="20.25" customHeight="1">
      <c r="W6820" s="253"/>
    </row>
    <row r="6821" spans="23:23" ht="20.25" customHeight="1">
      <c r="W6821" s="253"/>
    </row>
    <row r="6822" spans="23:23" ht="20.25" customHeight="1">
      <c r="W6822" s="253"/>
    </row>
    <row r="6823" spans="23:23" ht="20.25" customHeight="1">
      <c r="W6823" s="253"/>
    </row>
    <row r="6824" spans="23:23" ht="20.25" customHeight="1">
      <c r="W6824" s="253"/>
    </row>
    <row r="6825" spans="23:23" ht="20.25" customHeight="1">
      <c r="W6825" s="253"/>
    </row>
    <row r="6826" spans="23:23" ht="20.25" customHeight="1">
      <c r="W6826" s="253"/>
    </row>
    <row r="6827" spans="23:23" ht="20.25" customHeight="1">
      <c r="W6827" s="253"/>
    </row>
    <row r="6828" spans="23:23" ht="20.25" customHeight="1">
      <c r="W6828" s="253"/>
    </row>
    <row r="6829" spans="23:23" ht="20.25" customHeight="1">
      <c r="W6829" s="253"/>
    </row>
    <row r="6830" spans="23:23" ht="20.25" customHeight="1">
      <c r="W6830" s="253"/>
    </row>
    <row r="6831" spans="23:23" ht="20.25" customHeight="1">
      <c r="W6831" s="253"/>
    </row>
    <row r="6832" spans="23:23" ht="20.25" customHeight="1">
      <c r="W6832" s="253"/>
    </row>
    <row r="6833" spans="23:23" ht="20.25" customHeight="1">
      <c r="W6833" s="253"/>
    </row>
    <row r="6834" spans="23:23" ht="20.25" customHeight="1">
      <c r="W6834" s="253"/>
    </row>
    <row r="6835" spans="23:23" ht="20.25" customHeight="1">
      <c r="W6835" s="253"/>
    </row>
    <row r="6836" spans="23:23" ht="20.25" customHeight="1">
      <c r="W6836" s="253"/>
    </row>
    <row r="6837" spans="23:23" ht="20.25" customHeight="1">
      <c r="W6837" s="253"/>
    </row>
    <row r="6838" spans="23:23" ht="20.25" customHeight="1">
      <c r="W6838" s="253"/>
    </row>
    <row r="6839" spans="23:23" ht="20.25" customHeight="1">
      <c r="W6839" s="253"/>
    </row>
    <row r="6840" spans="23:23" ht="20.25" customHeight="1">
      <c r="W6840" s="253"/>
    </row>
    <row r="6841" spans="23:23" ht="20.25" customHeight="1">
      <c r="W6841" s="253"/>
    </row>
    <row r="6842" spans="23:23" ht="20.25" customHeight="1">
      <c r="W6842" s="253"/>
    </row>
    <row r="6843" spans="23:23" ht="20.25" customHeight="1">
      <c r="W6843" s="253"/>
    </row>
    <row r="6844" spans="23:23" ht="20.25" customHeight="1">
      <c r="W6844" s="253"/>
    </row>
    <row r="6845" spans="23:23" ht="20.25" customHeight="1">
      <c r="W6845" s="253"/>
    </row>
    <row r="6846" spans="23:23" ht="20.25" customHeight="1">
      <c r="W6846" s="253"/>
    </row>
    <row r="6847" spans="23:23" ht="20.25" customHeight="1">
      <c r="W6847" s="253"/>
    </row>
    <row r="6848" spans="23:23" ht="20.25" customHeight="1">
      <c r="W6848" s="253"/>
    </row>
    <row r="6849" spans="23:23" ht="20.25" customHeight="1">
      <c r="W6849" s="253"/>
    </row>
    <row r="6850" spans="23:23" ht="20.25" customHeight="1">
      <c r="W6850" s="253"/>
    </row>
    <row r="6851" spans="23:23" ht="20.25" customHeight="1">
      <c r="W6851" s="253"/>
    </row>
    <row r="6852" spans="23:23" ht="20.25" customHeight="1">
      <c r="W6852" s="253"/>
    </row>
    <row r="6853" spans="23:23" ht="20.25" customHeight="1">
      <c r="W6853" s="253"/>
    </row>
    <row r="6854" spans="23:23" ht="20.25" customHeight="1">
      <c r="W6854" s="253"/>
    </row>
    <row r="6855" spans="23:23" ht="20.25" customHeight="1">
      <c r="W6855" s="253"/>
    </row>
    <row r="6856" spans="23:23" ht="20.25" customHeight="1">
      <c r="W6856" s="253"/>
    </row>
    <row r="6857" spans="23:23" ht="20.25" customHeight="1">
      <c r="W6857" s="253"/>
    </row>
    <row r="6858" spans="23:23" ht="20.25" customHeight="1">
      <c r="W6858" s="253"/>
    </row>
    <row r="6859" spans="23:23" ht="20.25" customHeight="1">
      <c r="W6859" s="253"/>
    </row>
    <row r="6860" spans="23:23" ht="20.25" customHeight="1">
      <c r="W6860" s="253"/>
    </row>
    <row r="6861" spans="23:23" ht="20.25" customHeight="1">
      <c r="W6861" s="253"/>
    </row>
    <row r="6862" spans="23:23" ht="20.25" customHeight="1">
      <c r="W6862" s="253"/>
    </row>
    <row r="6863" spans="23:23" ht="20.25" customHeight="1">
      <c r="W6863" s="253"/>
    </row>
    <row r="6864" spans="23:23" ht="20.25" customHeight="1">
      <c r="W6864" s="253"/>
    </row>
    <row r="6865" spans="23:23" ht="20.25" customHeight="1">
      <c r="W6865" s="253"/>
    </row>
    <row r="6866" spans="23:23" ht="20.25" customHeight="1">
      <c r="W6866" s="253"/>
    </row>
    <row r="6867" spans="23:23" ht="20.25" customHeight="1">
      <c r="W6867" s="253"/>
    </row>
    <row r="6868" spans="23:23" ht="20.25" customHeight="1">
      <c r="W6868" s="253"/>
    </row>
    <row r="6869" spans="23:23" ht="20.25" customHeight="1">
      <c r="W6869" s="253"/>
    </row>
    <row r="6870" spans="23:23" ht="20.25" customHeight="1">
      <c r="W6870" s="253"/>
    </row>
    <row r="6871" spans="23:23" ht="20.25" customHeight="1">
      <c r="W6871" s="253"/>
    </row>
    <row r="6872" spans="23:23" ht="20.25" customHeight="1">
      <c r="W6872" s="253"/>
    </row>
    <row r="6873" spans="23:23" ht="20.25" customHeight="1">
      <c r="W6873" s="253"/>
    </row>
    <row r="6874" spans="23:23" ht="20.25" customHeight="1">
      <c r="W6874" s="253"/>
    </row>
    <row r="6875" spans="23:23" ht="20.25" customHeight="1">
      <c r="W6875" s="253"/>
    </row>
    <row r="6876" spans="23:23" ht="20.25" customHeight="1">
      <c r="W6876" s="253"/>
    </row>
    <row r="6877" spans="23:23" ht="20.25" customHeight="1">
      <c r="W6877" s="253"/>
    </row>
    <row r="6878" spans="23:23" ht="20.25" customHeight="1">
      <c r="W6878" s="253"/>
    </row>
    <row r="6879" spans="23:23" ht="20.25" customHeight="1">
      <c r="W6879" s="253"/>
    </row>
    <row r="6880" spans="23:23" ht="20.25" customHeight="1">
      <c r="W6880" s="253"/>
    </row>
    <row r="6881" spans="23:23" ht="20.25" customHeight="1">
      <c r="W6881" s="253"/>
    </row>
    <row r="6882" spans="23:23" ht="20.25" customHeight="1">
      <c r="W6882" s="253"/>
    </row>
    <row r="6883" spans="23:23" ht="20.25" customHeight="1">
      <c r="W6883" s="253"/>
    </row>
    <row r="6884" spans="23:23" ht="20.25" customHeight="1">
      <c r="W6884" s="253"/>
    </row>
    <row r="6885" spans="23:23" ht="20.25" customHeight="1">
      <c r="W6885" s="253"/>
    </row>
    <row r="6886" spans="23:23" ht="20.25" customHeight="1">
      <c r="W6886" s="253"/>
    </row>
    <row r="6887" spans="23:23" ht="20.25" customHeight="1">
      <c r="W6887" s="253"/>
    </row>
    <row r="6888" spans="23:23" ht="20.25" customHeight="1">
      <c r="W6888" s="253"/>
    </row>
    <row r="6889" spans="23:23" ht="20.25" customHeight="1">
      <c r="W6889" s="253"/>
    </row>
    <row r="6890" spans="23:23" ht="20.25" customHeight="1">
      <c r="W6890" s="253"/>
    </row>
    <row r="6891" spans="23:23" ht="20.25" customHeight="1">
      <c r="W6891" s="253"/>
    </row>
    <row r="6892" spans="23:23" ht="20.25" customHeight="1">
      <c r="W6892" s="253"/>
    </row>
    <row r="6893" spans="23:23" ht="20.25" customHeight="1">
      <c r="W6893" s="253"/>
    </row>
    <row r="6894" spans="23:23" ht="20.25" customHeight="1">
      <c r="W6894" s="253"/>
    </row>
    <row r="6895" spans="23:23" ht="20.25" customHeight="1">
      <c r="W6895" s="253"/>
    </row>
    <row r="6896" spans="23:23" ht="20.25" customHeight="1">
      <c r="W6896" s="253"/>
    </row>
    <row r="6897" spans="23:23" ht="20.25" customHeight="1">
      <c r="W6897" s="253"/>
    </row>
    <row r="6898" spans="23:23" ht="20.25" customHeight="1">
      <c r="W6898" s="253"/>
    </row>
    <row r="6899" spans="23:23" ht="20.25" customHeight="1">
      <c r="W6899" s="253"/>
    </row>
    <row r="6900" spans="23:23" ht="20.25" customHeight="1">
      <c r="W6900" s="253"/>
    </row>
    <row r="6901" spans="23:23" ht="20.25" customHeight="1">
      <c r="W6901" s="253"/>
    </row>
    <row r="6902" spans="23:23" ht="20.25" customHeight="1">
      <c r="W6902" s="253"/>
    </row>
    <row r="6903" spans="23:23" ht="20.25" customHeight="1">
      <c r="W6903" s="253"/>
    </row>
    <row r="6904" spans="23:23" ht="20.25" customHeight="1">
      <c r="W6904" s="253"/>
    </row>
    <row r="6905" spans="23:23" ht="20.25" customHeight="1">
      <c r="W6905" s="253"/>
    </row>
    <row r="6906" spans="23:23" ht="20.25" customHeight="1">
      <c r="W6906" s="253"/>
    </row>
    <row r="6907" spans="23:23" ht="20.25" customHeight="1">
      <c r="W6907" s="253"/>
    </row>
    <row r="6908" spans="23:23" ht="20.25" customHeight="1">
      <c r="W6908" s="253"/>
    </row>
    <row r="6909" spans="23:23" ht="20.25" customHeight="1">
      <c r="W6909" s="253"/>
    </row>
    <row r="6910" spans="23:23" ht="20.25" customHeight="1">
      <c r="W6910" s="253"/>
    </row>
    <row r="6911" spans="23:23" ht="20.25" customHeight="1">
      <c r="W6911" s="253"/>
    </row>
    <row r="6912" spans="23:23" ht="20.25" customHeight="1">
      <c r="W6912" s="253"/>
    </row>
    <row r="6913" spans="23:23" ht="20.25" customHeight="1">
      <c r="W6913" s="253"/>
    </row>
    <row r="6914" spans="23:23" ht="20.25" customHeight="1">
      <c r="W6914" s="253"/>
    </row>
    <row r="6915" spans="23:23" ht="20.25" customHeight="1">
      <c r="W6915" s="253"/>
    </row>
    <row r="6916" spans="23:23" ht="20.25" customHeight="1">
      <c r="W6916" s="253"/>
    </row>
    <row r="6917" spans="23:23" ht="20.25" customHeight="1">
      <c r="W6917" s="253"/>
    </row>
    <row r="6918" spans="23:23" ht="20.25" customHeight="1">
      <c r="W6918" s="253"/>
    </row>
    <row r="6919" spans="23:23" ht="20.25" customHeight="1">
      <c r="W6919" s="253"/>
    </row>
    <row r="6920" spans="23:23" ht="20.25" customHeight="1">
      <c r="W6920" s="253"/>
    </row>
    <row r="6921" spans="23:23" ht="20.25" customHeight="1">
      <c r="W6921" s="253"/>
    </row>
    <row r="6922" spans="23:23" ht="20.25" customHeight="1">
      <c r="W6922" s="253"/>
    </row>
    <row r="6923" spans="23:23" ht="20.25" customHeight="1">
      <c r="W6923" s="253"/>
    </row>
    <row r="6924" spans="23:23" ht="20.25" customHeight="1">
      <c r="W6924" s="253"/>
    </row>
    <row r="6925" spans="23:23" ht="20.25" customHeight="1">
      <c r="W6925" s="253"/>
    </row>
    <row r="6926" spans="23:23" ht="20.25" customHeight="1">
      <c r="W6926" s="253"/>
    </row>
    <row r="6927" spans="23:23" ht="20.25" customHeight="1">
      <c r="W6927" s="253"/>
    </row>
    <row r="6928" spans="23:23" ht="20.25" customHeight="1">
      <c r="W6928" s="253"/>
    </row>
    <row r="6929" spans="23:23" ht="20.25" customHeight="1">
      <c r="W6929" s="253"/>
    </row>
    <row r="6930" spans="23:23" ht="20.25" customHeight="1">
      <c r="W6930" s="253"/>
    </row>
    <row r="6931" spans="23:23" ht="20.25" customHeight="1">
      <c r="W6931" s="253"/>
    </row>
    <row r="6932" spans="23:23" ht="20.25" customHeight="1">
      <c r="W6932" s="253"/>
    </row>
    <row r="6933" spans="23:23" ht="20.25" customHeight="1">
      <c r="W6933" s="253"/>
    </row>
    <row r="6934" spans="23:23" ht="20.25" customHeight="1">
      <c r="W6934" s="253"/>
    </row>
    <row r="6935" spans="23:23" ht="20.25" customHeight="1">
      <c r="W6935" s="253"/>
    </row>
    <row r="6936" spans="23:23" ht="20.25" customHeight="1">
      <c r="W6936" s="253"/>
    </row>
    <row r="6937" spans="23:23" ht="20.25" customHeight="1">
      <c r="W6937" s="253"/>
    </row>
    <row r="6938" spans="23:23" ht="20.25" customHeight="1">
      <c r="W6938" s="253"/>
    </row>
    <row r="6939" spans="23:23" ht="20.25" customHeight="1">
      <c r="W6939" s="253"/>
    </row>
    <row r="6940" spans="23:23" ht="20.25" customHeight="1">
      <c r="W6940" s="253"/>
    </row>
    <row r="6941" spans="23:23" ht="20.25" customHeight="1">
      <c r="W6941" s="253"/>
    </row>
    <row r="6942" spans="23:23" ht="20.25" customHeight="1">
      <c r="W6942" s="253"/>
    </row>
    <row r="6943" spans="23:23" ht="20.25" customHeight="1">
      <c r="W6943" s="253"/>
    </row>
    <row r="6944" spans="23:23" ht="20.25" customHeight="1">
      <c r="W6944" s="253"/>
    </row>
    <row r="6945" spans="23:23" ht="20.25" customHeight="1">
      <c r="W6945" s="253"/>
    </row>
    <row r="6946" spans="23:23" ht="20.25" customHeight="1">
      <c r="W6946" s="253"/>
    </row>
    <row r="6947" spans="23:23" ht="20.25" customHeight="1">
      <c r="W6947" s="253"/>
    </row>
    <row r="6948" spans="23:23" ht="20.25" customHeight="1">
      <c r="W6948" s="253"/>
    </row>
    <row r="6949" spans="23:23" ht="20.25" customHeight="1">
      <c r="W6949" s="253"/>
    </row>
    <row r="6950" spans="23:23" ht="20.25" customHeight="1">
      <c r="W6950" s="253"/>
    </row>
    <row r="6951" spans="23:23" ht="20.25" customHeight="1">
      <c r="W6951" s="253"/>
    </row>
    <row r="6952" spans="23:23" ht="20.25" customHeight="1">
      <c r="W6952" s="253"/>
    </row>
    <row r="6953" spans="23:23" ht="20.25" customHeight="1">
      <c r="W6953" s="253"/>
    </row>
    <row r="6954" spans="23:23" ht="20.25" customHeight="1">
      <c r="W6954" s="253"/>
    </row>
    <row r="6955" spans="23:23" ht="20.25" customHeight="1">
      <c r="W6955" s="253"/>
    </row>
    <row r="6956" spans="23:23" ht="20.25" customHeight="1">
      <c r="W6956" s="253"/>
    </row>
    <row r="6957" spans="23:23" ht="20.25" customHeight="1">
      <c r="W6957" s="253"/>
    </row>
    <row r="6958" spans="23:23" ht="20.25" customHeight="1">
      <c r="W6958" s="253"/>
    </row>
    <row r="6959" spans="23:23" ht="20.25" customHeight="1">
      <c r="W6959" s="253"/>
    </row>
    <row r="6960" spans="23:23" ht="20.25" customHeight="1">
      <c r="W6960" s="253"/>
    </row>
    <row r="6961" spans="23:23" ht="20.25" customHeight="1">
      <c r="W6961" s="253"/>
    </row>
    <row r="6962" spans="23:23" ht="20.25" customHeight="1">
      <c r="W6962" s="253"/>
    </row>
    <row r="6963" spans="23:23" ht="20.25" customHeight="1">
      <c r="W6963" s="253"/>
    </row>
    <row r="6964" spans="23:23" ht="20.25" customHeight="1">
      <c r="W6964" s="253"/>
    </row>
    <row r="6965" spans="23:23" ht="20.25" customHeight="1">
      <c r="W6965" s="253"/>
    </row>
    <row r="6966" spans="23:23" ht="20.25" customHeight="1">
      <c r="W6966" s="253"/>
    </row>
    <row r="6967" spans="23:23" ht="20.25" customHeight="1">
      <c r="W6967" s="253"/>
    </row>
    <row r="6968" spans="23:23" ht="20.25" customHeight="1">
      <c r="W6968" s="253"/>
    </row>
    <row r="6969" spans="23:23" ht="20.25" customHeight="1">
      <c r="W6969" s="253"/>
    </row>
    <row r="6970" spans="23:23" ht="20.25" customHeight="1">
      <c r="W6970" s="253"/>
    </row>
    <row r="6971" spans="23:23" ht="20.25" customHeight="1">
      <c r="W6971" s="253"/>
    </row>
    <row r="6972" spans="23:23" ht="20.25" customHeight="1">
      <c r="W6972" s="253"/>
    </row>
    <row r="6973" spans="23:23" ht="20.25" customHeight="1">
      <c r="W6973" s="253"/>
    </row>
    <row r="6974" spans="23:23" ht="20.25" customHeight="1">
      <c r="W6974" s="253"/>
    </row>
    <row r="6975" spans="23:23" ht="20.25" customHeight="1">
      <c r="W6975" s="253"/>
    </row>
    <row r="6976" spans="23:23" ht="20.25" customHeight="1">
      <c r="W6976" s="253"/>
    </row>
    <row r="6977" spans="23:23" ht="20.25" customHeight="1">
      <c r="W6977" s="253"/>
    </row>
    <row r="6978" spans="23:23" ht="20.25" customHeight="1">
      <c r="W6978" s="253"/>
    </row>
    <row r="6979" spans="23:23" ht="20.25" customHeight="1">
      <c r="W6979" s="253"/>
    </row>
    <row r="6980" spans="23:23" ht="20.25" customHeight="1">
      <c r="W6980" s="253"/>
    </row>
    <row r="6981" spans="23:23" ht="20.25" customHeight="1">
      <c r="W6981" s="253"/>
    </row>
    <row r="6982" spans="23:23" ht="20.25" customHeight="1">
      <c r="W6982" s="253"/>
    </row>
    <row r="6983" spans="23:23" ht="20.25" customHeight="1">
      <c r="W6983" s="253"/>
    </row>
    <row r="6984" spans="23:23" ht="20.25" customHeight="1">
      <c r="W6984" s="253"/>
    </row>
    <row r="6985" spans="23:23" ht="20.25" customHeight="1">
      <c r="W6985" s="253"/>
    </row>
    <row r="6986" spans="23:23" ht="20.25" customHeight="1">
      <c r="W6986" s="253"/>
    </row>
    <row r="6987" spans="23:23" ht="20.25" customHeight="1">
      <c r="W6987" s="253"/>
    </row>
    <row r="6988" spans="23:23" ht="20.25" customHeight="1">
      <c r="W6988" s="253"/>
    </row>
    <row r="6989" spans="23:23" ht="20.25" customHeight="1">
      <c r="W6989" s="253"/>
    </row>
    <row r="6990" spans="23:23" ht="20.25" customHeight="1">
      <c r="W6990" s="253"/>
    </row>
    <row r="6991" spans="23:23" ht="20.25" customHeight="1">
      <c r="W6991" s="253"/>
    </row>
    <row r="6992" spans="23:23" ht="20.25" customHeight="1">
      <c r="W6992" s="253"/>
    </row>
    <row r="6993" spans="23:23" ht="20.25" customHeight="1">
      <c r="W6993" s="253"/>
    </row>
    <row r="6994" spans="23:23" ht="20.25" customHeight="1">
      <c r="W6994" s="253"/>
    </row>
    <row r="6995" spans="23:23" ht="20.25" customHeight="1">
      <c r="W6995" s="253"/>
    </row>
    <row r="6996" spans="23:23" ht="20.25" customHeight="1">
      <c r="W6996" s="253"/>
    </row>
    <row r="6997" spans="23:23" ht="20.25" customHeight="1">
      <c r="W6997" s="253"/>
    </row>
    <row r="6998" spans="23:23" ht="20.25" customHeight="1">
      <c r="W6998" s="253"/>
    </row>
    <row r="6999" spans="23:23" ht="20.25" customHeight="1">
      <c r="W6999" s="253"/>
    </row>
    <row r="7000" spans="23:23" ht="20.25" customHeight="1">
      <c r="W7000" s="253"/>
    </row>
    <row r="7001" spans="23:23" ht="20.25" customHeight="1">
      <c r="W7001" s="253"/>
    </row>
    <row r="7002" spans="23:23" ht="20.25" customHeight="1">
      <c r="W7002" s="253"/>
    </row>
    <row r="7003" spans="23:23" ht="20.25" customHeight="1">
      <c r="W7003" s="253"/>
    </row>
    <row r="7004" spans="23:23" ht="20.25" customHeight="1">
      <c r="W7004" s="253"/>
    </row>
    <row r="7005" spans="23:23" ht="20.25" customHeight="1">
      <c r="W7005" s="253"/>
    </row>
    <row r="7006" spans="23:23" ht="20.25" customHeight="1">
      <c r="W7006" s="253"/>
    </row>
    <row r="7007" spans="23:23" ht="20.25" customHeight="1">
      <c r="W7007" s="253"/>
    </row>
    <row r="7008" spans="23:23" ht="20.25" customHeight="1">
      <c r="W7008" s="253"/>
    </row>
    <row r="7009" spans="23:23" ht="20.25" customHeight="1">
      <c r="W7009" s="253"/>
    </row>
    <row r="7010" spans="23:23" ht="20.25" customHeight="1">
      <c r="W7010" s="253"/>
    </row>
    <row r="7011" spans="23:23" ht="20.25" customHeight="1">
      <c r="W7011" s="253"/>
    </row>
    <row r="7012" spans="23:23" ht="20.25" customHeight="1">
      <c r="W7012" s="253"/>
    </row>
    <row r="7013" spans="23:23" ht="20.25" customHeight="1">
      <c r="W7013" s="253"/>
    </row>
    <row r="7014" spans="23:23" ht="20.25" customHeight="1">
      <c r="W7014" s="253"/>
    </row>
    <row r="7015" spans="23:23" ht="20.25" customHeight="1">
      <c r="W7015" s="253"/>
    </row>
    <row r="7016" spans="23:23" ht="20.25" customHeight="1">
      <c r="W7016" s="253"/>
    </row>
    <row r="7017" spans="23:23" ht="20.25" customHeight="1">
      <c r="W7017" s="253"/>
    </row>
    <row r="7018" spans="23:23" ht="20.25" customHeight="1">
      <c r="W7018" s="253"/>
    </row>
    <row r="7019" spans="23:23" ht="20.25" customHeight="1">
      <c r="W7019" s="253"/>
    </row>
    <row r="7020" spans="23:23" ht="20.25" customHeight="1">
      <c r="W7020" s="253"/>
    </row>
    <row r="7021" spans="23:23" ht="20.25" customHeight="1">
      <c r="W7021" s="253"/>
    </row>
    <row r="7022" spans="23:23" ht="20.25" customHeight="1">
      <c r="W7022" s="253"/>
    </row>
    <row r="7023" spans="23:23" ht="20.25" customHeight="1">
      <c r="W7023" s="253"/>
    </row>
    <row r="7024" spans="23:23" ht="20.25" customHeight="1">
      <c r="W7024" s="253"/>
    </row>
    <row r="7025" spans="23:23" ht="20.25" customHeight="1">
      <c r="W7025" s="253"/>
    </row>
    <row r="7026" spans="23:23" ht="20.25" customHeight="1">
      <c r="W7026" s="253"/>
    </row>
    <row r="7027" spans="23:23" ht="20.25" customHeight="1">
      <c r="W7027" s="253"/>
    </row>
    <row r="7028" spans="23:23" ht="20.25" customHeight="1">
      <c r="W7028" s="253"/>
    </row>
    <row r="7029" spans="23:23" ht="20.25" customHeight="1">
      <c r="W7029" s="253"/>
    </row>
    <row r="7030" spans="23:23" ht="20.25" customHeight="1">
      <c r="W7030" s="253"/>
    </row>
    <row r="7031" spans="23:23" ht="20.25" customHeight="1">
      <c r="W7031" s="253"/>
    </row>
    <row r="7032" spans="23:23" ht="20.25" customHeight="1">
      <c r="W7032" s="253"/>
    </row>
    <row r="7033" spans="23:23" ht="20.25" customHeight="1">
      <c r="W7033" s="253"/>
    </row>
    <row r="7034" spans="23:23" ht="20.25" customHeight="1">
      <c r="W7034" s="253"/>
    </row>
    <row r="7035" spans="23:23" ht="20.25" customHeight="1">
      <c r="W7035" s="253"/>
    </row>
    <row r="7036" spans="23:23" ht="20.25" customHeight="1">
      <c r="W7036" s="253"/>
    </row>
    <row r="7037" spans="23:23" ht="20.25" customHeight="1">
      <c r="W7037" s="253"/>
    </row>
    <row r="7038" spans="23:23" ht="20.25" customHeight="1">
      <c r="W7038" s="253"/>
    </row>
    <row r="7039" spans="23:23" ht="20.25" customHeight="1">
      <c r="W7039" s="253"/>
    </row>
    <row r="7040" spans="23:23" ht="20.25" customHeight="1">
      <c r="W7040" s="253"/>
    </row>
    <row r="7041" spans="23:23" ht="20.25" customHeight="1">
      <c r="W7041" s="253"/>
    </row>
    <row r="7042" spans="23:23" ht="20.25" customHeight="1">
      <c r="W7042" s="253"/>
    </row>
    <row r="7043" spans="23:23" ht="20.25" customHeight="1">
      <c r="W7043" s="253"/>
    </row>
    <row r="7044" spans="23:23" ht="20.25" customHeight="1">
      <c r="W7044" s="253"/>
    </row>
    <row r="7045" spans="23:23" ht="20.25" customHeight="1">
      <c r="W7045" s="253"/>
    </row>
    <row r="7046" spans="23:23" ht="20.25" customHeight="1">
      <c r="W7046" s="253"/>
    </row>
    <row r="7047" spans="23:23" ht="20.25" customHeight="1">
      <c r="W7047" s="253"/>
    </row>
    <row r="7048" spans="23:23" ht="20.25" customHeight="1">
      <c r="W7048" s="253"/>
    </row>
    <row r="7049" spans="23:23" ht="20.25" customHeight="1">
      <c r="W7049" s="253"/>
    </row>
    <row r="7050" spans="23:23" ht="20.25" customHeight="1">
      <c r="W7050" s="253"/>
    </row>
    <row r="7051" spans="23:23" ht="20.25" customHeight="1">
      <c r="W7051" s="253"/>
    </row>
    <row r="7052" spans="23:23" ht="20.25" customHeight="1">
      <c r="W7052" s="253"/>
    </row>
    <row r="7053" spans="23:23" ht="20.25" customHeight="1">
      <c r="W7053" s="253"/>
    </row>
    <row r="7054" spans="23:23" ht="20.25" customHeight="1">
      <c r="W7054" s="253"/>
    </row>
    <row r="7055" spans="23:23" ht="20.25" customHeight="1">
      <c r="W7055" s="253"/>
    </row>
    <row r="7056" spans="23:23" ht="20.25" customHeight="1">
      <c r="W7056" s="253"/>
    </row>
    <row r="7057" spans="23:23" ht="20.25" customHeight="1">
      <c r="W7057" s="253"/>
    </row>
    <row r="7058" spans="23:23" ht="20.25" customHeight="1">
      <c r="W7058" s="253"/>
    </row>
    <row r="7059" spans="23:23" ht="20.25" customHeight="1">
      <c r="W7059" s="253"/>
    </row>
    <row r="7060" spans="23:23" ht="20.25" customHeight="1">
      <c r="W7060" s="253"/>
    </row>
    <row r="7061" spans="23:23" ht="20.25" customHeight="1">
      <c r="W7061" s="253"/>
    </row>
    <row r="7062" spans="23:23" ht="20.25" customHeight="1">
      <c r="W7062" s="253"/>
    </row>
    <row r="7063" spans="23:23" ht="20.25" customHeight="1">
      <c r="W7063" s="253"/>
    </row>
    <row r="7064" spans="23:23" ht="20.25" customHeight="1">
      <c r="W7064" s="253"/>
    </row>
    <row r="7065" spans="23:23" ht="20.25" customHeight="1">
      <c r="W7065" s="253"/>
    </row>
    <row r="7066" spans="23:23" ht="20.25" customHeight="1">
      <c r="W7066" s="253"/>
    </row>
    <row r="7067" spans="23:23" ht="20.25" customHeight="1">
      <c r="W7067" s="253"/>
    </row>
    <row r="7068" spans="23:23" ht="20.25" customHeight="1">
      <c r="W7068" s="253"/>
    </row>
    <row r="7069" spans="23:23" ht="20.25" customHeight="1">
      <c r="W7069" s="253"/>
    </row>
    <row r="7070" spans="23:23" ht="20.25" customHeight="1">
      <c r="W7070" s="253"/>
    </row>
    <row r="7071" spans="23:23" ht="20.25" customHeight="1">
      <c r="W7071" s="253"/>
    </row>
    <row r="7072" spans="23:23" ht="20.25" customHeight="1">
      <c r="W7072" s="253"/>
    </row>
    <row r="7073" spans="23:23" ht="20.25" customHeight="1">
      <c r="W7073" s="253"/>
    </row>
    <row r="7074" spans="23:23" ht="20.25" customHeight="1">
      <c r="W7074" s="253"/>
    </row>
    <row r="7075" spans="23:23" ht="20.25" customHeight="1">
      <c r="W7075" s="253"/>
    </row>
    <row r="7076" spans="23:23" ht="20.25" customHeight="1">
      <c r="W7076" s="253"/>
    </row>
    <row r="7077" spans="23:23" ht="20.25" customHeight="1">
      <c r="W7077" s="253"/>
    </row>
    <row r="7078" spans="23:23" ht="20.25" customHeight="1">
      <c r="W7078" s="253"/>
    </row>
    <row r="7079" spans="23:23" ht="20.25" customHeight="1">
      <c r="W7079" s="253"/>
    </row>
    <row r="7080" spans="23:23" ht="20.25" customHeight="1">
      <c r="W7080" s="253"/>
    </row>
    <row r="7081" spans="23:23" ht="20.25" customHeight="1">
      <c r="W7081" s="253"/>
    </row>
    <row r="7082" spans="23:23" ht="20.25" customHeight="1">
      <c r="W7082" s="253"/>
    </row>
    <row r="7083" spans="23:23" ht="20.25" customHeight="1">
      <c r="W7083" s="253"/>
    </row>
    <row r="7084" spans="23:23" ht="20.25" customHeight="1">
      <c r="W7084" s="253"/>
    </row>
    <row r="7085" spans="23:23" ht="20.25" customHeight="1">
      <c r="W7085" s="253"/>
    </row>
    <row r="7086" spans="23:23" ht="20.25" customHeight="1">
      <c r="W7086" s="253"/>
    </row>
    <row r="7087" spans="23:23" ht="20.25" customHeight="1">
      <c r="W7087" s="253"/>
    </row>
    <row r="7088" spans="23:23" ht="20.25" customHeight="1">
      <c r="W7088" s="253"/>
    </row>
    <row r="7089" spans="23:23" ht="20.25" customHeight="1">
      <c r="W7089" s="253"/>
    </row>
    <row r="7090" spans="23:23" ht="20.25" customHeight="1">
      <c r="W7090" s="253"/>
    </row>
    <row r="7091" spans="23:23" ht="20.25" customHeight="1">
      <c r="W7091" s="253"/>
    </row>
    <row r="7092" spans="23:23" ht="20.25" customHeight="1">
      <c r="W7092" s="253"/>
    </row>
    <row r="7093" spans="23:23" ht="20.25" customHeight="1">
      <c r="W7093" s="253"/>
    </row>
    <row r="7094" spans="23:23" ht="20.25" customHeight="1">
      <c r="W7094" s="253"/>
    </row>
    <row r="7095" spans="23:23" ht="20.25" customHeight="1">
      <c r="W7095" s="253"/>
    </row>
    <row r="7096" spans="23:23" ht="20.25" customHeight="1">
      <c r="W7096" s="253"/>
    </row>
    <row r="7097" spans="23:23" ht="20.25" customHeight="1">
      <c r="W7097" s="253"/>
    </row>
    <row r="7098" spans="23:23" ht="20.25" customHeight="1">
      <c r="W7098" s="253"/>
    </row>
    <row r="7099" spans="23:23" ht="20.25" customHeight="1">
      <c r="W7099" s="253"/>
    </row>
    <row r="7100" spans="23:23" ht="20.25" customHeight="1">
      <c r="W7100" s="253"/>
    </row>
    <row r="7101" spans="23:23" ht="20.25" customHeight="1">
      <c r="W7101" s="253"/>
    </row>
    <row r="7102" spans="23:23" ht="20.25" customHeight="1">
      <c r="W7102" s="253"/>
    </row>
    <row r="7103" spans="23:23" ht="20.25" customHeight="1">
      <c r="W7103" s="253"/>
    </row>
    <row r="7104" spans="23:23" ht="20.25" customHeight="1">
      <c r="W7104" s="253"/>
    </row>
    <row r="7105" spans="23:23" ht="20.25" customHeight="1">
      <c r="W7105" s="253"/>
    </row>
    <row r="7106" spans="23:23" ht="20.25" customHeight="1">
      <c r="W7106" s="253"/>
    </row>
    <row r="7107" spans="23:23" ht="20.25" customHeight="1">
      <c r="W7107" s="253"/>
    </row>
    <row r="7108" spans="23:23" ht="20.25" customHeight="1">
      <c r="W7108" s="253"/>
    </row>
    <row r="7109" spans="23:23" ht="20.25" customHeight="1">
      <c r="W7109" s="253"/>
    </row>
    <row r="7110" spans="23:23" ht="20.25" customHeight="1">
      <c r="W7110" s="253"/>
    </row>
    <row r="7111" spans="23:23" ht="20.25" customHeight="1">
      <c r="W7111" s="253"/>
    </row>
    <row r="7112" spans="23:23" ht="20.25" customHeight="1">
      <c r="W7112" s="253"/>
    </row>
    <row r="7113" spans="23:23" ht="20.25" customHeight="1">
      <c r="W7113" s="253"/>
    </row>
    <row r="7114" spans="23:23" ht="20.25" customHeight="1">
      <c r="W7114" s="253"/>
    </row>
    <row r="7115" spans="23:23" ht="20.25" customHeight="1">
      <c r="W7115" s="253"/>
    </row>
    <row r="7116" spans="23:23" ht="20.25" customHeight="1">
      <c r="W7116" s="253"/>
    </row>
    <row r="7117" spans="23:23" ht="20.25" customHeight="1">
      <c r="W7117" s="253"/>
    </row>
    <row r="7118" spans="23:23" ht="20.25" customHeight="1">
      <c r="W7118" s="253"/>
    </row>
    <row r="7119" spans="23:23" ht="20.25" customHeight="1">
      <c r="W7119" s="253"/>
    </row>
    <row r="7120" spans="23:23" ht="20.25" customHeight="1">
      <c r="W7120" s="253"/>
    </row>
    <row r="7121" spans="23:23" ht="20.25" customHeight="1">
      <c r="W7121" s="253"/>
    </row>
    <row r="7122" spans="23:23" ht="20.25" customHeight="1">
      <c r="W7122" s="253"/>
    </row>
    <row r="7123" spans="23:23" ht="20.25" customHeight="1">
      <c r="W7123" s="253"/>
    </row>
    <row r="7124" spans="23:23" ht="20.25" customHeight="1">
      <c r="W7124" s="253"/>
    </row>
    <row r="7125" spans="23:23" ht="20.25" customHeight="1">
      <c r="W7125" s="253"/>
    </row>
    <row r="7126" spans="23:23" ht="20.25" customHeight="1">
      <c r="W7126" s="253"/>
    </row>
    <row r="7127" spans="23:23" ht="20.25" customHeight="1">
      <c r="W7127" s="253"/>
    </row>
    <row r="7128" spans="23:23" ht="20.25" customHeight="1">
      <c r="W7128" s="253"/>
    </row>
    <row r="7129" spans="23:23" ht="20.25" customHeight="1">
      <c r="W7129" s="253"/>
    </row>
    <row r="7130" spans="23:23" ht="20.25" customHeight="1">
      <c r="W7130" s="253"/>
    </row>
    <row r="7131" spans="23:23" ht="20.25" customHeight="1">
      <c r="W7131" s="253"/>
    </row>
    <row r="7132" spans="23:23" ht="20.25" customHeight="1">
      <c r="W7132" s="253"/>
    </row>
    <row r="7133" spans="23:23" ht="20.25" customHeight="1">
      <c r="W7133" s="253"/>
    </row>
    <row r="7134" spans="23:23" ht="20.25" customHeight="1">
      <c r="W7134" s="253"/>
    </row>
    <row r="7135" spans="23:23" ht="20.25" customHeight="1">
      <c r="W7135" s="253"/>
    </row>
    <row r="7136" spans="23:23" ht="20.25" customHeight="1">
      <c r="W7136" s="253"/>
    </row>
    <row r="7137" spans="23:23" ht="20.25" customHeight="1">
      <c r="W7137" s="253"/>
    </row>
    <row r="7138" spans="23:23" ht="20.25" customHeight="1">
      <c r="W7138" s="253"/>
    </row>
    <row r="7139" spans="23:23" ht="20.25" customHeight="1">
      <c r="W7139" s="253"/>
    </row>
    <row r="7140" spans="23:23" ht="20.25" customHeight="1">
      <c r="W7140" s="253"/>
    </row>
    <row r="7141" spans="23:23" ht="20.25" customHeight="1">
      <c r="W7141" s="253"/>
    </row>
    <row r="7142" spans="23:23" ht="20.25" customHeight="1">
      <c r="W7142" s="253"/>
    </row>
    <row r="7143" spans="23:23" ht="20.25" customHeight="1">
      <c r="W7143" s="253"/>
    </row>
    <row r="7144" spans="23:23" ht="20.25" customHeight="1">
      <c r="W7144" s="253"/>
    </row>
    <row r="7145" spans="23:23" ht="20.25" customHeight="1">
      <c r="W7145" s="253"/>
    </row>
    <row r="7146" spans="23:23" ht="20.25" customHeight="1">
      <c r="W7146" s="253"/>
    </row>
    <row r="7147" spans="23:23" ht="20.25" customHeight="1">
      <c r="W7147" s="253"/>
    </row>
    <row r="7148" spans="23:23" ht="20.25" customHeight="1">
      <c r="W7148" s="253"/>
    </row>
    <row r="7149" spans="23:23" ht="20.25" customHeight="1">
      <c r="W7149" s="253"/>
    </row>
    <row r="7150" spans="23:23" ht="20.25" customHeight="1">
      <c r="W7150" s="253"/>
    </row>
    <row r="7151" spans="23:23" ht="20.25" customHeight="1">
      <c r="W7151" s="253"/>
    </row>
    <row r="7152" spans="23:23" ht="20.25" customHeight="1">
      <c r="W7152" s="253"/>
    </row>
    <row r="7153" spans="23:23" ht="20.25" customHeight="1">
      <c r="W7153" s="253"/>
    </row>
    <row r="7154" spans="23:23" ht="20.25" customHeight="1">
      <c r="W7154" s="253"/>
    </row>
    <row r="7155" spans="23:23" ht="20.25" customHeight="1">
      <c r="W7155" s="253"/>
    </row>
    <row r="7156" spans="23:23" ht="20.25" customHeight="1">
      <c r="W7156" s="253"/>
    </row>
    <row r="7157" spans="23:23" ht="20.25" customHeight="1">
      <c r="W7157" s="253"/>
    </row>
    <row r="7158" spans="23:23" ht="20.25" customHeight="1">
      <c r="W7158" s="253"/>
    </row>
    <row r="7159" spans="23:23" ht="20.25" customHeight="1">
      <c r="W7159" s="253"/>
    </row>
    <row r="7160" spans="23:23" ht="20.25" customHeight="1">
      <c r="W7160" s="253"/>
    </row>
    <row r="7161" spans="23:23" ht="20.25" customHeight="1">
      <c r="W7161" s="253"/>
    </row>
    <row r="7162" spans="23:23" ht="20.25" customHeight="1">
      <c r="W7162" s="253"/>
    </row>
    <row r="7163" spans="23:23" ht="20.25" customHeight="1">
      <c r="W7163" s="253"/>
    </row>
    <row r="7164" spans="23:23" ht="20.25" customHeight="1">
      <c r="W7164" s="253"/>
    </row>
    <row r="7165" spans="23:23" ht="20.25" customHeight="1">
      <c r="W7165" s="253"/>
    </row>
    <row r="7166" spans="23:23" ht="20.25" customHeight="1">
      <c r="W7166" s="253"/>
    </row>
    <row r="7167" spans="23:23" ht="20.25" customHeight="1">
      <c r="W7167" s="253"/>
    </row>
    <row r="7168" spans="23:23" ht="20.25" customHeight="1">
      <c r="W7168" s="253"/>
    </row>
    <row r="7169" spans="23:23" ht="20.25" customHeight="1">
      <c r="W7169" s="253"/>
    </row>
    <row r="7170" spans="23:23" ht="20.25" customHeight="1">
      <c r="W7170" s="253"/>
    </row>
    <row r="7171" spans="23:23" ht="20.25" customHeight="1">
      <c r="W7171" s="253"/>
    </row>
    <row r="7172" spans="23:23" ht="20.25" customHeight="1">
      <c r="W7172" s="253"/>
    </row>
    <row r="7173" spans="23:23" ht="20.25" customHeight="1">
      <c r="W7173" s="253"/>
    </row>
    <row r="7174" spans="23:23" ht="20.25" customHeight="1">
      <c r="W7174" s="253"/>
    </row>
    <row r="7175" spans="23:23" ht="20.25" customHeight="1">
      <c r="W7175" s="253"/>
    </row>
    <row r="7176" spans="23:23" ht="20.25" customHeight="1">
      <c r="W7176" s="253"/>
    </row>
    <row r="7177" spans="23:23" ht="20.25" customHeight="1">
      <c r="W7177" s="253"/>
    </row>
    <row r="7178" spans="23:23" ht="20.25" customHeight="1">
      <c r="W7178" s="253"/>
    </row>
    <row r="7179" spans="23:23" ht="20.25" customHeight="1">
      <c r="W7179" s="253"/>
    </row>
    <row r="7180" spans="23:23" ht="20.25" customHeight="1">
      <c r="W7180" s="253"/>
    </row>
    <row r="7181" spans="23:23" ht="20.25" customHeight="1">
      <c r="W7181" s="253"/>
    </row>
    <row r="7182" spans="23:23" ht="20.25" customHeight="1">
      <c r="W7182" s="253"/>
    </row>
    <row r="7183" spans="23:23" ht="20.25" customHeight="1">
      <c r="W7183" s="253"/>
    </row>
    <row r="7184" spans="23:23" ht="20.25" customHeight="1">
      <c r="W7184" s="253"/>
    </row>
    <row r="7185" spans="23:23" ht="20.25" customHeight="1">
      <c r="W7185" s="253"/>
    </row>
    <row r="7186" spans="23:23" ht="20.25" customHeight="1">
      <c r="W7186" s="253"/>
    </row>
    <row r="7187" spans="23:23" ht="20.25" customHeight="1">
      <c r="W7187" s="253"/>
    </row>
    <row r="7188" spans="23:23" ht="20.25" customHeight="1">
      <c r="W7188" s="253"/>
    </row>
    <row r="7189" spans="23:23" ht="20.25" customHeight="1">
      <c r="W7189" s="253"/>
    </row>
    <row r="7190" spans="23:23" ht="20.25" customHeight="1">
      <c r="W7190" s="253"/>
    </row>
    <row r="7191" spans="23:23" ht="20.25" customHeight="1">
      <c r="W7191" s="253"/>
    </row>
    <row r="7192" spans="23:23" ht="20.25" customHeight="1">
      <c r="W7192" s="253"/>
    </row>
    <row r="7193" spans="23:23" ht="20.25" customHeight="1">
      <c r="W7193" s="253"/>
    </row>
    <row r="7194" spans="23:23" ht="20.25" customHeight="1">
      <c r="W7194" s="253"/>
    </row>
    <row r="7195" spans="23:23" ht="20.25" customHeight="1">
      <c r="W7195" s="253"/>
    </row>
    <row r="7196" spans="23:23" ht="20.25" customHeight="1">
      <c r="W7196" s="253"/>
    </row>
    <row r="7197" spans="23:23" ht="20.25" customHeight="1">
      <c r="W7197" s="253"/>
    </row>
    <row r="7198" spans="23:23" ht="20.25" customHeight="1">
      <c r="W7198" s="253"/>
    </row>
    <row r="7199" spans="23:23" ht="20.25" customHeight="1">
      <c r="W7199" s="253"/>
    </row>
    <row r="7200" spans="23:23" ht="20.25" customHeight="1">
      <c r="W7200" s="253"/>
    </row>
    <row r="7201" spans="23:23" ht="20.25" customHeight="1">
      <c r="W7201" s="253"/>
    </row>
    <row r="7202" spans="23:23" ht="20.25" customHeight="1">
      <c r="W7202" s="253"/>
    </row>
    <row r="7203" spans="23:23" ht="20.25" customHeight="1">
      <c r="W7203" s="253"/>
    </row>
    <row r="7204" spans="23:23" ht="20.25" customHeight="1">
      <c r="W7204" s="253"/>
    </row>
    <row r="7205" spans="23:23" ht="20.25" customHeight="1">
      <c r="W7205" s="253"/>
    </row>
    <row r="7206" spans="23:23" ht="20.25" customHeight="1">
      <c r="W7206" s="253"/>
    </row>
    <row r="7207" spans="23:23" ht="20.25" customHeight="1">
      <c r="W7207" s="253"/>
    </row>
    <row r="7208" spans="23:23" ht="20.25" customHeight="1">
      <c r="W7208" s="253"/>
    </row>
    <row r="7209" spans="23:23" ht="20.25" customHeight="1">
      <c r="W7209" s="253"/>
    </row>
    <row r="7210" spans="23:23" ht="20.25" customHeight="1">
      <c r="W7210" s="253"/>
    </row>
    <row r="7211" spans="23:23" ht="20.25" customHeight="1">
      <c r="W7211" s="253"/>
    </row>
    <row r="7212" spans="23:23" ht="20.25" customHeight="1">
      <c r="W7212" s="253"/>
    </row>
    <row r="7213" spans="23:23" ht="20.25" customHeight="1">
      <c r="W7213" s="253"/>
    </row>
    <row r="7214" spans="23:23" ht="20.25" customHeight="1">
      <c r="W7214" s="253"/>
    </row>
    <row r="7215" spans="23:23" ht="20.25" customHeight="1">
      <c r="W7215" s="253"/>
    </row>
    <row r="7216" spans="23:23" ht="20.25" customHeight="1">
      <c r="W7216" s="253"/>
    </row>
    <row r="7217" spans="23:23" ht="20.25" customHeight="1">
      <c r="W7217" s="253"/>
    </row>
    <row r="7218" spans="23:23" ht="20.25" customHeight="1">
      <c r="W7218" s="253"/>
    </row>
    <row r="7219" spans="23:23" ht="20.25" customHeight="1">
      <c r="W7219" s="253"/>
    </row>
    <row r="7220" spans="23:23" ht="20.25" customHeight="1">
      <c r="W7220" s="253"/>
    </row>
    <row r="7221" spans="23:23" ht="20.25" customHeight="1">
      <c r="W7221" s="253"/>
    </row>
    <row r="7222" spans="23:23" ht="20.25" customHeight="1">
      <c r="W7222" s="253"/>
    </row>
    <row r="7223" spans="23:23" ht="20.25" customHeight="1">
      <c r="W7223" s="253"/>
    </row>
    <row r="7224" spans="23:23" ht="20.25" customHeight="1">
      <c r="W7224" s="253"/>
    </row>
    <row r="7225" spans="23:23" ht="20.25" customHeight="1">
      <c r="W7225" s="253"/>
    </row>
    <row r="7226" spans="23:23" ht="20.25" customHeight="1">
      <c r="W7226" s="253"/>
    </row>
    <row r="7227" spans="23:23" ht="20.25" customHeight="1">
      <c r="W7227" s="253"/>
    </row>
    <row r="7228" spans="23:23" ht="20.25" customHeight="1">
      <c r="W7228" s="253"/>
    </row>
    <row r="7229" spans="23:23" ht="20.25" customHeight="1">
      <c r="W7229" s="253"/>
    </row>
    <row r="7230" spans="23:23" ht="20.25" customHeight="1">
      <c r="W7230" s="253"/>
    </row>
    <row r="7231" spans="23:23" ht="20.25" customHeight="1">
      <c r="W7231" s="253"/>
    </row>
    <row r="7232" spans="23:23" ht="20.25" customHeight="1">
      <c r="W7232" s="253"/>
    </row>
    <row r="7233" spans="23:23" ht="20.25" customHeight="1">
      <c r="W7233" s="253"/>
    </row>
    <row r="7234" spans="23:23" ht="20.25" customHeight="1">
      <c r="W7234" s="253"/>
    </row>
    <row r="7235" spans="23:23" ht="20.25" customHeight="1">
      <c r="W7235" s="253"/>
    </row>
    <row r="7236" spans="23:23" ht="20.25" customHeight="1">
      <c r="W7236" s="253"/>
    </row>
    <row r="7237" spans="23:23" ht="20.25" customHeight="1">
      <c r="W7237" s="253"/>
    </row>
    <row r="7238" spans="23:23" ht="20.25" customHeight="1">
      <c r="W7238" s="253"/>
    </row>
    <row r="7239" spans="23:23" ht="20.25" customHeight="1">
      <c r="W7239" s="253"/>
    </row>
    <row r="7240" spans="23:23" ht="20.25" customHeight="1">
      <c r="W7240" s="253"/>
    </row>
    <row r="7241" spans="23:23" ht="20.25" customHeight="1">
      <c r="W7241" s="253"/>
    </row>
    <row r="7242" spans="23:23" ht="20.25" customHeight="1">
      <c r="W7242" s="253"/>
    </row>
    <row r="7243" spans="23:23" ht="20.25" customHeight="1">
      <c r="W7243" s="253"/>
    </row>
    <row r="7244" spans="23:23" ht="20.25" customHeight="1">
      <c r="W7244" s="253"/>
    </row>
    <row r="7245" spans="23:23" ht="20.25" customHeight="1">
      <c r="W7245" s="253"/>
    </row>
    <row r="7246" spans="23:23" ht="20.25" customHeight="1">
      <c r="W7246" s="253"/>
    </row>
    <row r="7247" spans="23:23" ht="20.25" customHeight="1">
      <c r="W7247" s="253"/>
    </row>
    <row r="7248" spans="23:23" ht="20.25" customHeight="1">
      <c r="W7248" s="253"/>
    </row>
    <row r="7249" spans="23:23" ht="20.25" customHeight="1">
      <c r="W7249" s="253"/>
    </row>
    <row r="7250" spans="23:23" ht="20.25" customHeight="1">
      <c r="W7250" s="253"/>
    </row>
    <row r="7251" spans="23:23" ht="20.25" customHeight="1">
      <c r="W7251" s="253"/>
    </row>
    <row r="7252" spans="23:23" ht="20.25" customHeight="1">
      <c r="W7252" s="253"/>
    </row>
    <row r="7253" spans="23:23" ht="20.25" customHeight="1">
      <c r="W7253" s="253"/>
    </row>
    <row r="7254" spans="23:23" ht="20.25" customHeight="1">
      <c r="W7254" s="253"/>
    </row>
    <row r="7255" spans="23:23" ht="20.25" customHeight="1">
      <c r="W7255" s="253"/>
    </row>
    <row r="7256" spans="23:23" ht="20.25" customHeight="1">
      <c r="W7256" s="253"/>
    </row>
    <row r="7257" spans="23:23" ht="20.25" customHeight="1">
      <c r="W7257" s="253"/>
    </row>
    <row r="7258" spans="23:23" ht="20.25" customHeight="1">
      <c r="W7258" s="253"/>
    </row>
    <row r="7259" spans="23:23" ht="20.25" customHeight="1">
      <c r="W7259" s="253"/>
    </row>
    <row r="7260" spans="23:23" ht="20.25" customHeight="1">
      <c r="W7260" s="253"/>
    </row>
    <row r="7261" spans="23:23" ht="20.25" customHeight="1">
      <c r="W7261" s="253"/>
    </row>
    <row r="7262" spans="23:23" ht="20.25" customHeight="1">
      <c r="W7262" s="253"/>
    </row>
    <row r="7263" spans="23:23" ht="20.25" customHeight="1">
      <c r="W7263" s="253"/>
    </row>
    <row r="7264" spans="23:23" ht="20.25" customHeight="1">
      <c r="W7264" s="253"/>
    </row>
    <row r="7265" spans="23:23" ht="20.25" customHeight="1">
      <c r="W7265" s="253"/>
    </row>
    <row r="7266" spans="23:23" ht="20.25" customHeight="1">
      <c r="W7266" s="253"/>
    </row>
    <row r="7267" spans="23:23" ht="20.25" customHeight="1">
      <c r="W7267" s="253"/>
    </row>
    <row r="7268" spans="23:23" ht="20.25" customHeight="1">
      <c r="W7268" s="253"/>
    </row>
    <row r="7269" spans="23:23" ht="20.25" customHeight="1">
      <c r="W7269" s="253"/>
    </row>
    <row r="7270" spans="23:23" ht="20.25" customHeight="1">
      <c r="W7270" s="253"/>
    </row>
    <row r="7271" spans="23:23" ht="20.25" customHeight="1">
      <c r="W7271" s="253"/>
    </row>
    <row r="7272" spans="23:23" ht="20.25" customHeight="1">
      <c r="W7272" s="253"/>
    </row>
    <row r="7273" spans="23:23" ht="20.25" customHeight="1">
      <c r="W7273" s="253"/>
    </row>
    <row r="7274" spans="23:23" ht="20.25" customHeight="1">
      <c r="W7274" s="253"/>
    </row>
    <row r="7275" spans="23:23" ht="20.25" customHeight="1">
      <c r="W7275" s="253"/>
    </row>
    <row r="7276" spans="23:23" ht="20.25" customHeight="1">
      <c r="W7276" s="253"/>
    </row>
    <row r="7277" spans="23:23" ht="20.25" customHeight="1">
      <c r="W7277" s="253"/>
    </row>
    <row r="7278" spans="23:23" ht="20.25" customHeight="1">
      <c r="W7278" s="253"/>
    </row>
    <row r="7279" spans="23:23" ht="20.25" customHeight="1">
      <c r="W7279" s="253"/>
    </row>
    <row r="7280" spans="23:23" ht="20.25" customHeight="1">
      <c r="W7280" s="253"/>
    </row>
    <row r="7281" spans="23:23" ht="20.25" customHeight="1">
      <c r="W7281" s="253"/>
    </row>
    <row r="7282" spans="23:23" ht="20.25" customHeight="1">
      <c r="W7282" s="253"/>
    </row>
    <row r="7283" spans="23:23" ht="20.25" customHeight="1">
      <c r="W7283" s="253"/>
    </row>
    <row r="7284" spans="23:23" ht="20.25" customHeight="1">
      <c r="W7284" s="253"/>
    </row>
    <row r="7285" spans="23:23" ht="20.25" customHeight="1">
      <c r="W7285" s="253"/>
    </row>
    <row r="7286" spans="23:23" ht="20.25" customHeight="1">
      <c r="W7286" s="253"/>
    </row>
    <row r="7287" spans="23:23" ht="20.25" customHeight="1">
      <c r="W7287" s="253"/>
    </row>
    <row r="7288" spans="23:23" ht="20.25" customHeight="1">
      <c r="W7288" s="253"/>
    </row>
    <row r="7289" spans="23:23" ht="20.25" customHeight="1">
      <c r="W7289" s="253"/>
    </row>
    <row r="7290" spans="23:23" ht="20.25" customHeight="1">
      <c r="W7290" s="253"/>
    </row>
    <row r="7291" spans="23:23" ht="20.25" customHeight="1">
      <c r="W7291" s="253"/>
    </row>
    <row r="7292" spans="23:23" ht="20.25" customHeight="1">
      <c r="W7292" s="253"/>
    </row>
    <row r="7293" spans="23:23" ht="20.25" customHeight="1">
      <c r="W7293" s="253"/>
    </row>
    <row r="7294" spans="23:23" ht="20.25" customHeight="1">
      <c r="W7294" s="253"/>
    </row>
    <row r="7295" spans="23:23" ht="20.25" customHeight="1">
      <c r="W7295" s="253"/>
    </row>
    <row r="7296" spans="23:23" ht="20.25" customHeight="1">
      <c r="W7296" s="253"/>
    </row>
    <row r="7297" spans="23:23" ht="20.25" customHeight="1">
      <c r="W7297" s="253"/>
    </row>
    <row r="7298" spans="23:23" ht="20.25" customHeight="1">
      <c r="W7298" s="253"/>
    </row>
    <row r="7299" spans="23:23" ht="20.25" customHeight="1">
      <c r="W7299" s="253"/>
    </row>
    <row r="7300" spans="23:23" ht="20.25" customHeight="1">
      <c r="W7300" s="253"/>
    </row>
    <row r="7301" spans="23:23" ht="20.25" customHeight="1">
      <c r="W7301" s="253"/>
    </row>
    <row r="7302" spans="23:23" ht="20.25" customHeight="1">
      <c r="W7302" s="253"/>
    </row>
    <row r="7303" spans="23:23" ht="20.25" customHeight="1">
      <c r="W7303" s="253"/>
    </row>
    <row r="7304" spans="23:23" ht="20.25" customHeight="1">
      <c r="W7304" s="253"/>
    </row>
    <row r="7305" spans="23:23" ht="20.25" customHeight="1">
      <c r="W7305" s="253"/>
    </row>
    <row r="7306" spans="23:23" ht="20.25" customHeight="1">
      <c r="W7306" s="253"/>
    </row>
    <row r="7307" spans="23:23" ht="20.25" customHeight="1">
      <c r="W7307" s="253"/>
    </row>
    <row r="7308" spans="23:23" ht="20.25" customHeight="1">
      <c r="W7308" s="253"/>
    </row>
    <row r="7309" spans="23:23" ht="20.25" customHeight="1">
      <c r="W7309" s="253"/>
    </row>
    <row r="7310" spans="23:23" ht="20.25" customHeight="1">
      <c r="W7310" s="253"/>
    </row>
    <row r="7311" spans="23:23" ht="20.25" customHeight="1">
      <c r="W7311" s="253"/>
    </row>
    <row r="7312" spans="23:23" ht="20.25" customHeight="1">
      <c r="W7312" s="253"/>
    </row>
    <row r="7313" spans="23:23" ht="20.25" customHeight="1">
      <c r="W7313" s="253"/>
    </row>
    <row r="7314" spans="23:23" ht="20.25" customHeight="1">
      <c r="W7314" s="253"/>
    </row>
    <row r="7315" spans="23:23" ht="20.25" customHeight="1">
      <c r="W7315" s="253"/>
    </row>
    <row r="7316" spans="23:23" ht="20.25" customHeight="1">
      <c r="W7316" s="253"/>
    </row>
    <row r="7317" spans="23:23" ht="20.25" customHeight="1">
      <c r="W7317" s="253"/>
    </row>
    <row r="7318" spans="23:23" ht="20.25" customHeight="1">
      <c r="W7318" s="253"/>
    </row>
    <row r="7319" spans="23:23" ht="20.25" customHeight="1">
      <c r="W7319" s="253"/>
    </row>
    <row r="7320" spans="23:23" ht="20.25" customHeight="1">
      <c r="W7320" s="253"/>
    </row>
    <row r="7321" spans="23:23" ht="20.25" customHeight="1">
      <c r="W7321" s="253"/>
    </row>
    <row r="7322" spans="23:23" ht="20.25" customHeight="1">
      <c r="W7322" s="253"/>
    </row>
    <row r="7323" spans="23:23" ht="20.25" customHeight="1">
      <c r="W7323" s="253"/>
    </row>
    <row r="7324" spans="23:23" ht="20.25" customHeight="1">
      <c r="W7324" s="253"/>
    </row>
    <row r="7325" spans="23:23" ht="20.25" customHeight="1">
      <c r="W7325" s="253"/>
    </row>
    <row r="7326" spans="23:23" ht="20.25" customHeight="1">
      <c r="W7326" s="253"/>
    </row>
    <row r="7327" spans="23:23" ht="20.25" customHeight="1">
      <c r="W7327" s="253"/>
    </row>
    <row r="7328" spans="23:23" ht="20.25" customHeight="1">
      <c r="W7328" s="253"/>
    </row>
    <row r="7329" spans="23:23" ht="20.25" customHeight="1">
      <c r="W7329" s="253"/>
    </row>
    <row r="7330" spans="23:23" ht="20.25" customHeight="1">
      <c r="W7330" s="253"/>
    </row>
    <row r="7331" spans="23:23" ht="20.25" customHeight="1">
      <c r="W7331" s="253"/>
    </row>
    <row r="7332" spans="23:23" ht="20.25" customHeight="1">
      <c r="W7332" s="253"/>
    </row>
    <row r="7333" spans="23:23" ht="20.25" customHeight="1">
      <c r="W7333" s="253"/>
    </row>
    <row r="7334" spans="23:23" ht="20.25" customHeight="1">
      <c r="W7334" s="253"/>
    </row>
    <row r="7335" spans="23:23" ht="20.25" customHeight="1">
      <c r="W7335" s="253"/>
    </row>
    <row r="7336" spans="23:23" ht="20.25" customHeight="1">
      <c r="W7336" s="253"/>
    </row>
    <row r="7337" spans="23:23" ht="20.25" customHeight="1">
      <c r="W7337" s="253"/>
    </row>
    <row r="7338" spans="23:23" ht="20.25" customHeight="1">
      <c r="W7338" s="253"/>
    </row>
    <row r="7339" spans="23:23" ht="20.25" customHeight="1">
      <c r="W7339" s="253"/>
    </row>
    <row r="7340" spans="23:23" ht="20.25" customHeight="1">
      <c r="W7340" s="253"/>
    </row>
    <row r="7341" spans="23:23" ht="20.25" customHeight="1">
      <c r="W7341" s="253"/>
    </row>
    <row r="7342" spans="23:23" ht="20.25" customHeight="1">
      <c r="W7342" s="253"/>
    </row>
    <row r="7343" spans="23:23" ht="20.25" customHeight="1">
      <c r="W7343" s="253"/>
    </row>
    <row r="7344" spans="23:23" ht="20.25" customHeight="1">
      <c r="W7344" s="253"/>
    </row>
    <row r="7345" spans="23:23" ht="20.25" customHeight="1">
      <c r="W7345" s="253"/>
    </row>
    <row r="7346" spans="23:23" ht="20.25" customHeight="1">
      <c r="W7346" s="253"/>
    </row>
    <row r="7347" spans="23:23" ht="20.25" customHeight="1">
      <c r="W7347" s="253"/>
    </row>
    <row r="7348" spans="23:23" ht="20.25" customHeight="1">
      <c r="W7348" s="253"/>
    </row>
    <row r="7349" spans="23:23" ht="20.25" customHeight="1">
      <c r="W7349" s="253"/>
    </row>
    <row r="7350" spans="23:23" ht="20.25" customHeight="1">
      <c r="W7350" s="253"/>
    </row>
    <row r="7351" spans="23:23" ht="20.25" customHeight="1">
      <c r="W7351" s="253"/>
    </row>
    <row r="7352" spans="23:23" ht="20.25" customHeight="1">
      <c r="W7352" s="253"/>
    </row>
    <row r="7353" spans="23:23" ht="20.25" customHeight="1">
      <c r="W7353" s="253"/>
    </row>
    <row r="7354" spans="23:23" ht="20.25" customHeight="1">
      <c r="W7354" s="253"/>
    </row>
    <row r="7355" spans="23:23" ht="20.25" customHeight="1">
      <c r="W7355" s="253"/>
    </row>
    <row r="7356" spans="23:23" ht="20.25" customHeight="1">
      <c r="W7356" s="253"/>
    </row>
    <row r="7357" spans="23:23" ht="20.25" customHeight="1">
      <c r="W7357" s="253"/>
    </row>
    <row r="7358" spans="23:23" ht="20.25" customHeight="1">
      <c r="W7358" s="253"/>
    </row>
    <row r="7359" spans="23:23" ht="20.25" customHeight="1">
      <c r="W7359" s="253"/>
    </row>
    <row r="7360" spans="23:23" ht="20.25" customHeight="1">
      <c r="W7360" s="253"/>
    </row>
    <row r="7361" spans="23:23" ht="20.25" customHeight="1">
      <c r="W7361" s="253"/>
    </row>
    <row r="7362" spans="23:23" ht="20.25" customHeight="1">
      <c r="W7362" s="253"/>
    </row>
    <row r="7363" spans="23:23" ht="20.25" customHeight="1">
      <c r="W7363" s="253"/>
    </row>
    <row r="7364" spans="23:23" ht="20.25" customHeight="1">
      <c r="W7364" s="253"/>
    </row>
    <row r="7365" spans="23:23" ht="20.25" customHeight="1">
      <c r="W7365" s="253"/>
    </row>
    <row r="7366" spans="23:23" ht="20.25" customHeight="1">
      <c r="W7366" s="253"/>
    </row>
    <row r="7367" spans="23:23" ht="20.25" customHeight="1">
      <c r="W7367" s="253"/>
    </row>
    <row r="7368" spans="23:23" ht="20.25" customHeight="1">
      <c r="W7368" s="253"/>
    </row>
    <row r="7369" spans="23:23" ht="20.25" customHeight="1">
      <c r="W7369" s="253"/>
    </row>
    <row r="7370" spans="23:23" ht="20.25" customHeight="1">
      <c r="W7370" s="253"/>
    </row>
    <row r="7371" spans="23:23" ht="20.25" customHeight="1">
      <c r="W7371" s="253"/>
    </row>
    <row r="7372" spans="23:23" ht="20.25" customHeight="1">
      <c r="W7372" s="253"/>
    </row>
    <row r="7373" spans="23:23" ht="20.25" customHeight="1">
      <c r="W7373" s="253"/>
    </row>
    <row r="7374" spans="23:23" ht="20.25" customHeight="1">
      <c r="W7374" s="253"/>
    </row>
    <row r="7375" spans="23:23" ht="20.25" customHeight="1">
      <c r="W7375" s="253"/>
    </row>
    <row r="7376" spans="23:23" ht="20.25" customHeight="1">
      <c r="W7376" s="253"/>
    </row>
    <row r="7377" spans="23:23" ht="20.25" customHeight="1">
      <c r="W7377" s="253"/>
    </row>
    <row r="7378" spans="23:23" ht="20.25" customHeight="1">
      <c r="W7378" s="253"/>
    </row>
    <row r="7379" spans="23:23" ht="20.25" customHeight="1">
      <c r="W7379" s="253"/>
    </row>
    <row r="7380" spans="23:23" ht="20.25" customHeight="1">
      <c r="W7380" s="253"/>
    </row>
    <row r="7381" spans="23:23" ht="20.25" customHeight="1">
      <c r="W7381" s="253"/>
    </row>
    <row r="7382" spans="23:23" ht="20.25" customHeight="1">
      <c r="W7382" s="253"/>
    </row>
    <row r="7383" spans="23:23" ht="20.25" customHeight="1">
      <c r="W7383" s="253"/>
    </row>
    <row r="7384" spans="23:23" ht="20.25" customHeight="1">
      <c r="W7384" s="253"/>
    </row>
    <row r="7385" spans="23:23" ht="20.25" customHeight="1">
      <c r="W7385" s="253"/>
    </row>
    <row r="7386" spans="23:23" ht="20.25" customHeight="1">
      <c r="W7386" s="253"/>
    </row>
    <row r="7387" spans="23:23" ht="20.25" customHeight="1">
      <c r="W7387" s="253"/>
    </row>
    <row r="7388" spans="23:23" ht="20.25" customHeight="1">
      <c r="W7388" s="253"/>
    </row>
    <row r="7389" spans="23:23" ht="20.25" customHeight="1">
      <c r="W7389" s="253"/>
    </row>
    <row r="7390" spans="23:23" ht="20.25" customHeight="1">
      <c r="W7390" s="253"/>
    </row>
    <row r="7391" spans="23:23" ht="20.25" customHeight="1">
      <c r="W7391" s="253"/>
    </row>
    <row r="7392" spans="23:23" ht="20.25" customHeight="1">
      <c r="W7392" s="253"/>
    </row>
    <row r="7393" spans="23:23" ht="20.25" customHeight="1">
      <c r="W7393" s="253"/>
    </row>
    <row r="7394" spans="23:23" ht="20.25" customHeight="1">
      <c r="W7394" s="253"/>
    </row>
    <row r="7395" spans="23:23" ht="20.25" customHeight="1">
      <c r="W7395" s="253"/>
    </row>
    <row r="7396" spans="23:23" ht="20.25" customHeight="1">
      <c r="W7396" s="253"/>
    </row>
    <row r="7397" spans="23:23" ht="20.25" customHeight="1">
      <c r="W7397" s="253"/>
    </row>
    <row r="7398" spans="23:23" ht="20.25" customHeight="1">
      <c r="W7398" s="253"/>
    </row>
    <row r="7399" spans="23:23" ht="20.25" customHeight="1">
      <c r="W7399" s="253"/>
    </row>
    <row r="7400" spans="23:23" ht="20.25" customHeight="1">
      <c r="W7400" s="253"/>
    </row>
    <row r="7401" spans="23:23" ht="20.25" customHeight="1">
      <c r="W7401" s="253"/>
    </row>
    <row r="7402" spans="23:23" ht="20.25" customHeight="1">
      <c r="W7402" s="253"/>
    </row>
    <row r="7403" spans="23:23" ht="20.25" customHeight="1">
      <c r="W7403" s="253"/>
    </row>
    <row r="7404" spans="23:23" ht="20.25" customHeight="1">
      <c r="W7404" s="253"/>
    </row>
    <row r="7405" spans="23:23" ht="20.25" customHeight="1">
      <c r="W7405" s="253"/>
    </row>
    <row r="7406" spans="23:23" ht="20.25" customHeight="1">
      <c r="W7406" s="253"/>
    </row>
    <row r="7407" spans="23:23" ht="20.25" customHeight="1">
      <c r="W7407" s="253"/>
    </row>
    <row r="7408" spans="23:23" ht="20.25" customHeight="1">
      <c r="W7408" s="253"/>
    </row>
    <row r="7409" spans="23:23" ht="20.25" customHeight="1">
      <c r="W7409" s="253"/>
    </row>
    <row r="7410" spans="23:23" ht="20.25" customHeight="1">
      <c r="W7410" s="253"/>
    </row>
    <row r="7411" spans="23:23" ht="20.25" customHeight="1">
      <c r="W7411" s="253"/>
    </row>
    <row r="7412" spans="23:23" ht="20.25" customHeight="1">
      <c r="W7412" s="253"/>
    </row>
    <row r="7413" spans="23:23" ht="20.25" customHeight="1">
      <c r="W7413" s="253"/>
    </row>
    <row r="7414" spans="23:23" ht="20.25" customHeight="1">
      <c r="W7414" s="253"/>
    </row>
    <row r="7415" spans="23:23" ht="20.25" customHeight="1">
      <c r="W7415" s="253"/>
    </row>
    <row r="7416" spans="23:23" ht="20.25" customHeight="1">
      <c r="W7416" s="253"/>
    </row>
    <row r="7417" spans="23:23" ht="20.25" customHeight="1">
      <c r="W7417" s="253"/>
    </row>
    <row r="7418" spans="23:23" ht="20.25" customHeight="1">
      <c r="W7418" s="253"/>
    </row>
    <row r="7419" spans="23:23" ht="20.25" customHeight="1">
      <c r="W7419" s="253"/>
    </row>
    <row r="7420" spans="23:23" ht="20.25" customHeight="1">
      <c r="W7420" s="253"/>
    </row>
    <row r="7421" spans="23:23" ht="20.25" customHeight="1">
      <c r="W7421" s="253"/>
    </row>
    <row r="7422" spans="23:23" ht="20.25" customHeight="1">
      <c r="W7422" s="253"/>
    </row>
    <row r="7423" spans="23:23" ht="20.25" customHeight="1">
      <c r="W7423" s="253"/>
    </row>
    <row r="7424" spans="23:23" ht="20.25" customHeight="1">
      <c r="W7424" s="253"/>
    </row>
    <row r="7425" spans="23:23" ht="20.25" customHeight="1">
      <c r="W7425" s="253"/>
    </row>
    <row r="7426" spans="23:23" ht="20.25" customHeight="1">
      <c r="W7426" s="253"/>
    </row>
    <row r="7427" spans="23:23" ht="20.25" customHeight="1">
      <c r="W7427" s="253"/>
    </row>
    <row r="7428" spans="23:23" ht="20.25" customHeight="1">
      <c r="W7428" s="253"/>
    </row>
    <row r="7429" spans="23:23" ht="20.25" customHeight="1">
      <c r="W7429" s="253"/>
    </row>
    <row r="7430" spans="23:23" ht="20.25" customHeight="1">
      <c r="W7430" s="253"/>
    </row>
    <row r="7431" spans="23:23" ht="20.25" customHeight="1">
      <c r="W7431" s="253"/>
    </row>
    <row r="7432" spans="23:23" ht="20.25" customHeight="1">
      <c r="W7432" s="253"/>
    </row>
    <row r="7433" spans="23:23" ht="20.25" customHeight="1">
      <c r="W7433" s="253"/>
    </row>
    <row r="7434" spans="23:23" ht="20.25" customHeight="1">
      <c r="W7434" s="253"/>
    </row>
    <row r="7435" spans="23:23" ht="20.25" customHeight="1">
      <c r="W7435" s="253"/>
    </row>
    <row r="7436" spans="23:23" ht="20.25" customHeight="1">
      <c r="W7436" s="253"/>
    </row>
    <row r="7437" spans="23:23" ht="20.25" customHeight="1">
      <c r="W7437" s="253"/>
    </row>
    <row r="7438" spans="23:23" ht="20.25" customHeight="1">
      <c r="W7438" s="253"/>
    </row>
    <row r="7439" spans="23:23" ht="20.25" customHeight="1">
      <c r="W7439" s="253"/>
    </row>
    <row r="7440" spans="23:23" ht="20.25" customHeight="1">
      <c r="W7440" s="253"/>
    </row>
    <row r="7441" spans="23:23" ht="20.25" customHeight="1">
      <c r="W7441" s="253"/>
    </row>
    <row r="7442" spans="23:23" ht="20.25" customHeight="1">
      <c r="W7442" s="253"/>
    </row>
    <row r="7443" spans="23:23" ht="20.25" customHeight="1">
      <c r="W7443" s="253"/>
    </row>
    <row r="7444" spans="23:23" ht="20.25" customHeight="1">
      <c r="W7444" s="253"/>
    </row>
    <row r="7445" spans="23:23" ht="20.25" customHeight="1">
      <c r="W7445" s="253"/>
    </row>
    <row r="7446" spans="23:23" ht="20.25" customHeight="1">
      <c r="W7446" s="253"/>
    </row>
    <row r="7447" spans="23:23" ht="20.25" customHeight="1">
      <c r="W7447" s="253"/>
    </row>
    <row r="7448" spans="23:23" ht="20.25" customHeight="1">
      <c r="W7448" s="253"/>
    </row>
    <row r="7449" spans="23:23" ht="20.25" customHeight="1">
      <c r="W7449" s="253"/>
    </row>
    <row r="7450" spans="23:23" ht="20.25" customHeight="1">
      <c r="W7450" s="253"/>
    </row>
    <row r="7451" spans="23:23" ht="20.25" customHeight="1">
      <c r="W7451" s="253"/>
    </row>
    <row r="7452" spans="23:23" ht="20.25" customHeight="1">
      <c r="W7452" s="253"/>
    </row>
    <row r="7453" spans="23:23" ht="20.25" customHeight="1">
      <c r="W7453" s="253"/>
    </row>
    <row r="7454" spans="23:23" ht="20.25" customHeight="1">
      <c r="W7454" s="253"/>
    </row>
    <row r="7455" spans="23:23" ht="20.25" customHeight="1">
      <c r="W7455" s="253"/>
    </row>
    <row r="7456" spans="23:23" ht="20.25" customHeight="1">
      <c r="W7456" s="253"/>
    </row>
    <row r="7457" spans="23:23" ht="20.25" customHeight="1">
      <c r="W7457" s="253"/>
    </row>
    <row r="7458" spans="23:23" ht="20.25" customHeight="1">
      <c r="W7458" s="253"/>
    </row>
    <row r="7459" spans="23:23" ht="20.25" customHeight="1">
      <c r="W7459" s="253"/>
    </row>
    <row r="7460" spans="23:23" ht="20.25" customHeight="1">
      <c r="W7460" s="253"/>
    </row>
    <row r="7461" spans="23:23" ht="20.25" customHeight="1">
      <c r="W7461" s="253"/>
    </row>
    <row r="7462" spans="23:23" ht="20.25" customHeight="1">
      <c r="W7462" s="253"/>
    </row>
    <row r="7463" spans="23:23" ht="20.25" customHeight="1">
      <c r="W7463" s="253"/>
    </row>
    <row r="7464" spans="23:23" ht="20.25" customHeight="1">
      <c r="W7464" s="253"/>
    </row>
    <row r="7465" spans="23:23" ht="20.25" customHeight="1">
      <c r="W7465" s="253"/>
    </row>
    <row r="7466" spans="23:23" ht="20.25" customHeight="1">
      <c r="W7466" s="253"/>
    </row>
    <row r="7467" spans="23:23" ht="20.25" customHeight="1">
      <c r="W7467" s="253"/>
    </row>
    <row r="7468" spans="23:23" ht="20.25" customHeight="1">
      <c r="W7468" s="253"/>
    </row>
    <row r="7469" spans="23:23" ht="20.25" customHeight="1">
      <c r="W7469" s="253"/>
    </row>
    <row r="7470" spans="23:23" ht="20.25" customHeight="1">
      <c r="W7470" s="253"/>
    </row>
    <row r="7471" spans="23:23" ht="20.25" customHeight="1">
      <c r="W7471" s="253"/>
    </row>
    <row r="7472" spans="23:23" ht="20.25" customHeight="1">
      <c r="W7472" s="253"/>
    </row>
    <row r="7473" spans="23:23" ht="20.25" customHeight="1">
      <c r="W7473" s="253"/>
    </row>
    <row r="7474" spans="23:23" ht="20.25" customHeight="1">
      <c r="W7474" s="253"/>
    </row>
    <row r="7475" spans="23:23" ht="20.25" customHeight="1">
      <c r="W7475" s="253"/>
    </row>
    <row r="7476" spans="23:23" ht="20.25" customHeight="1">
      <c r="W7476" s="253"/>
    </row>
    <row r="7477" spans="23:23" ht="20.25" customHeight="1">
      <c r="W7477" s="253"/>
    </row>
    <row r="7478" spans="23:23" ht="20.25" customHeight="1">
      <c r="W7478" s="253"/>
    </row>
    <row r="7479" spans="23:23" ht="20.25" customHeight="1">
      <c r="W7479" s="253"/>
    </row>
    <row r="7480" spans="23:23" ht="20.25" customHeight="1">
      <c r="W7480" s="253"/>
    </row>
    <row r="7481" spans="23:23" ht="20.25" customHeight="1">
      <c r="W7481" s="253"/>
    </row>
    <row r="7482" spans="23:23" ht="20.25" customHeight="1">
      <c r="W7482" s="253"/>
    </row>
    <row r="7483" spans="23:23" ht="20.25" customHeight="1">
      <c r="W7483" s="253"/>
    </row>
    <row r="7484" spans="23:23" ht="20.25" customHeight="1">
      <c r="W7484" s="253"/>
    </row>
    <row r="7485" spans="23:23" ht="20.25" customHeight="1">
      <c r="W7485" s="253"/>
    </row>
    <row r="7486" spans="23:23" ht="20.25" customHeight="1">
      <c r="W7486" s="253"/>
    </row>
    <row r="7487" spans="23:23" ht="20.25" customHeight="1">
      <c r="W7487" s="253"/>
    </row>
    <row r="7488" spans="23:23" ht="20.25" customHeight="1">
      <c r="W7488" s="253"/>
    </row>
    <row r="7489" spans="23:23" ht="20.25" customHeight="1">
      <c r="W7489" s="253"/>
    </row>
    <row r="7490" spans="23:23" ht="20.25" customHeight="1">
      <c r="W7490" s="253"/>
    </row>
    <row r="7491" spans="23:23" ht="20.25" customHeight="1">
      <c r="W7491" s="253"/>
    </row>
    <row r="7492" spans="23:23" ht="20.25" customHeight="1">
      <c r="W7492" s="253"/>
    </row>
    <row r="7493" spans="23:23" ht="20.25" customHeight="1">
      <c r="W7493" s="253"/>
    </row>
    <row r="7494" spans="23:23" ht="20.25" customHeight="1">
      <c r="W7494" s="253"/>
    </row>
    <row r="7495" spans="23:23" ht="20.25" customHeight="1">
      <c r="W7495" s="253"/>
    </row>
    <row r="7496" spans="23:23" ht="20.25" customHeight="1">
      <c r="W7496" s="253"/>
    </row>
    <row r="7497" spans="23:23" ht="20.25" customHeight="1">
      <c r="W7497" s="253"/>
    </row>
    <row r="7498" spans="23:23" ht="20.25" customHeight="1">
      <c r="W7498" s="253"/>
    </row>
    <row r="7499" spans="23:23" ht="20.25" customHeight="1">
      <c r="W7499" s="253"/>
    </row>
    <row r="7500" spans="23:23" ht="20.25" customHeight="1">
      <c r="W7500" s="253"/>
    </row>
    <row r="7501" spans="23:23" ht="20.25" customHeight="1">
      <c r="W7501" s="253"/>
    </row>
    <row r="7502" spans="23:23" ht="20.25" customHeight="1">
      <c r="W7502" s="253"/>
    </row>
    <row r="7503" spans="23:23" ht="20.25" customHeight="1">
      <c r="W7503" s="253"/>
    </row>
    <row r="7504" spans="23:23" ht="20.25" customHeight="1">
      <c r="W7504" s="253"/>
    </row>
    <row r="7505" spans="23:23" ht="20.25" customHeight="1">
      <c r="W7505" s="253"/>
    </row>
    <row r="7506" spans="23:23" ht="20.25" customHeight="1">
      <c r="W7506" s="253"/>
    </row>
    <row r="7507" spans="23:23" ht="20.25" customHeight="1">
      <c r="W7507" s="253"/>
    </row>
    <row r="7508" spans="23:23" ht="20.25" customHeight="1">
      <c r="W7508" s="253"/>
    </row>
    <row r="7509" spans="23:23" ht="20.25" customHeight="1">
      <c r="W7509" s="253"/>
    </row>
    <row r="7510" spans="23:23" ht="20.25" customHeight="1">
      <c r="W7510" s="253"/>
    </row>
    <row r="7511" spans="23:23" ht="20.25" customHeight="1">
      <c r="W7511" s="253"/>
    </row>
    <row r="7512" spans="23:23" ht="20.25" customHeight="1">
      <c r="W7512" s="253"/>
    </row>
    <row r="7513" spans="23:23" ht="20.25" customHeight="1">
      <c r="W7513" s="253"/>
    </row>
    <row r="7514" spans="23:23" ht="20.25" customHeight="1">
      <c r="W7514" s="253"/>
    </row>
    <row r="7515" spans="23:23" ht="20.25" customHeight="1">
      <c r="W7515" s="253"/>
    </row>
    <row r="7516" spans="23:23" ht="20.25" customHeight="1">
      <c r="W7516" s="253"/>
    </row>
    <row r="7517" spans="23:23" ht="20.25" customHeight="1">
      <c r="W7517" s="253"/>
    </row>
    <row r="7518" spans="23:23" ht="20.25" customHeight="1">
      <c r="W7518" s="253"/>
    </row>
    <row r="7519" spans="23:23" ht="20.25" customHeight="1">
      <c r="W7519" s="253"/>
    </row>
    <row r="7520" spans="23:23" ht="20.25" customHeight="1">
      <c r="W7520" s="253"/>
    </row>
    <row r="7521" spans="23:23" ht="20.25" customHeight="1">
      <c r="W7521" s="253"/>
    </row>
    <row r="7522" spans="23:23" ht="20.25" customHeight="1">
      <c r="W7522" s="253"/>
    </row>
    <row r="7523" spans="23:23" ht="20.25" customHeight="1">
      <c r="W7523" s="253"/>
    </row>
    <row r="7524" spans="23:23" ht="20.25" customHeight="1">
      <c r="W7524" s="253"/>
    </row>
    <row r="7525" spans="23:23" ht="20.25" customHeight="1">
      <c r="W7525" s="253"/>
    </row>
    <row r="7526" spans="23:23" ht="20.25" customHeight="1">
      <c r="W7526" s="253"/>
    </row>
    <row r="7527" spans="23:23" ht="20.25" customHeight="1">
      <c r="W7527" s="253"/>
    </row>
    <row r="7528" spans="23:23" ht="20.25" customHeight="1">
      <c r="W7528" s="253"/>
    </row>
    <row r="7529" spans="23:23" ht="20.25" customHeight="1">
      <c r="W7529" s="253"/>
    </row>
    <row r="7530" spans="23:23" ht="20.25" customHeight="1">
      <c r="W7530" s="253"/>
    </row>
    <row r="7531" spans="23:23" ht="20.25" customHeight="1">
      <c r="W7531" s="253"/>
    </row>
    <row r="7532" spans="23:23" ht="20.25" customHeight="1">
      <c r="W7532" s="253"/>
    </row>
    <row r="7533" spans="23:23" ht="20.25" customHeight="1">
      <c r="W7533" s="253"/>
    </row>
    <row r="7534" spans="23:23" ht="20.25" customHeight="1">
      <c r="W7534" s="253"/>
    </row>
    <row r="7535" spans="23:23" ht="20.25" customHeight="1">
      <c r="W7535" s="253"/>
    </row>
    <row r="7536" spans="23:23" ht="20.25" customHeight="1">
      <c r="W7536" s="253"/>
    </row>
    <row r="7537" spans="23:23" ht="20.25" customHeight="1">
      <c r="W7537" s="253"/>
    </row>
    <row r="7538" spans="23:23" ht="20.25" customHeight="1">
      <c r="W7538" s="253"/>
    </row>
    <row r="7539" spans="23:23" ht="20.25" customHeight="1">
      <c r="W7539" s="253"/>
    </row>
    <row r="7540" spans="23:23" ht="20.25" customHeight="1">
      <c r="W7540" s="253"/>
    </row>
    <row r="7541" spans="23:23" ht="20.25" customHeight="1">
      <c r="W7541" s="253"/>
    </row>
    <row r="7542" spans="23:23" ht="20.25" customHeight="1">
      <c r="W7542" s="253"/>
    </row>
    <row r="7543" spans="23:23" ht="20.25" customHeight="1">
      <c r="W7543" s="253"/>
    </row>
    <row r="7544" spans="23:23" ht="20.25" customHeight="1">
      <c r="W7544" s="253"/>
    </row>
    <row r="7545" spans="23:23" ht="20.25" customHeight="1">
      <c r="W7545" s="253"/>
    </row>
    <row r="7546" spans="23:23" ht="20.25" customHeight="1">
      <c r="W7546" s="253"/>
    </row>
    <row r="7547" spans="23:23" ht="20.25" customHeight="1">
      <c r="W7547" s="253"/>
    </row>
    <row r="7548" spans="23:23" ht="20.25" customHeight="1">
      <c r="W7548" s="253"/>
    </row>
    <row r="7549" spans="23:23" ht="20.25" customHeight="1">
      <c r="W7549" s="253"/>
    </row>
    <row r="7550" spans="23:23" ht="20.25" customHeight="1">
      <c r="W7550" s="253"/>
    </row>
    <row r="7551" spans="23:23" ht="20.25" customHeight="1">
      <c r="W7551" s="253"/>
    </row>
    <row r="7552" spans="23:23" ht="20.25" customHeight="1">
      <c r="W7552" s="253"/>
    </row>
    <row r="7553" spans="23:23" ht="20.25" customHeight="1">
      <c r="W7553" s="253"/>
    </row>
    <row r="7554" spans="23:23" ht="20.25" customHeight="1">
      <c r="W7554" s="253"/>
    </row>
    <row r="7555" spans="23:23" ht="20.25" customHeight="1">
      <c r="W7555" s="253"/>
    </row>
    <row r="7556" spans="23:23" ht="20.25" customHeight="1">
      <c r="W7556" s="253"/>
    </row>
    <row r="7557" spans="23:23" ht="20.25" customHeight="1">
      <c r="W7557" s="253"/>
    </row>
    <row r="7558" spans="23:23" ht="20.25" customHeight="1">
      <c r="W7558" s="253"/>
    </row>
    <row r="7559" spans="23:23" ht="20.25" customHeight="1">
      <c r="W7559" s="253"/>
    </row>
    <row r="7560" spans="23:23" ht="20.25" customHeight="1">
      <c r="W7560" s="253"/>
    </row>
    <row r="7561" spans="23:23" ht="20.25" customHeight="1">
      <c r="W7561" s="253"/>
    </row>
    <row r="7562" spans="23:23" ht="20.25" customHeight="1">
      <c r="W7562" s="253"/>
    </row>
    <row r="7563" spans="23:23" ht="20.25" customHeight="1">
      <c r="W7563" s="253"/>
    </row>
    <row r="7564" spans="23:23" ht="20.25" customHeight="1">
      <c r="W7564" s="253"/>
    </row>
    <row r="7565" spans="23:23" ht="20.25" customHeight="1">
      <c r="W7565" s="253"/>
    </row>
    <row r="7566" spans="23:23" ht="20.25" customHeight="1">
      <c r="W7566" s="253"/>
    </row>
    <row r="7567" spans="23:23" ht="20.25" customHeight="1">
      <c r="W7567" s="253"/>
    </row>
    <row r="7568" spans="23:23" ht="20.25" customHeight="1">
      <c r="W7568" s="253"/>
    </row>
    <row r="7569" spans="23:23" ht="20.25" customHeight="1">
      <c r="W7569" s="253"/>
    </row>
    <row r="7570" spans="23:23" ht="20.25" customHeight="1">
      <c r="W7570" s="253"/>
    </row>
    <row r="7571" spans="23:23" ht="20.25" customHeight="1">
      <c r="W7571" s="253"/>
    </row>
    <row r="7572" spans="23:23" ht="20.25" customHeight="1">
      <c r="W7572" s="253"/>
    </row>
    <row r="7573" spans="23:23" ht="20.25" customHeight="1">
      <c r="W7573" s="253"/>
    </row>
    <row r="7574" spans="23:23" ht="20.25" customHeight="1">
      <c r="W7574" s="253"/>
    </row>
    <row r="7575" spans="23:23" ht="20.25" customHeight="1">
      <c r="W7575" s="253"/>
    </row>
    <row r="7576" spans="23:23" ht="20.25" customHeight="1">
      <c r="W7576" s="253"/>
    </row>
    <row r="7577" spans="23:23" ht="20.25" customHeight="1">
      <c r="W7577" s="253"/>
    </row>
    <row r="7578" spans="23:23" ht="20.25" customHeight="1">
      <c r="W7578" s="253"/>
    </row>
    <row r="7579" spans="23:23" ht="20.25" customHeight="1">
      <c r="W7579" s="253"/>
    </row>
    <row r="7580" spans="23:23" ht="20.25" customHeight="1">
      <c r="W7580" s="253"/>
    </row>
    <row r="7581" spans="23:23" ht="20.25" customHeight="1">
      <c r="W7581" s="253"/>
    </row>
    <row r="7582" spans="23:23" ht="20.25" customHeight="1">
      <c r="W7582" s="253"/>
    </row>
    <row r="7583" spans="23:23" ht="20.25" customHeight="1">
      <c r="W7583" s="253"/>
    </row>
    <row r="7584" spans="23:23" ht="20.25" customHeight="1">
      <c r="W7584" s="253"/>
    </row>
    <row r="7585" spans="23:23" ht="20.25" customHeight="1">
      <c r="W7585" s="253"/>
    </row>
    <row r="7586" spans="23:23" ht="20.25" customHeight="1">
      <c r="W7586" s="253"/>
    </row>
    <row r="7587" spans="23:23" ht="20.25" customHeight="1">
      <c r="W7587" s="253"/>
    </row>
    <row r="7588" spans="23:23" ht="20.25" customHeight="1">
      <c r="W7588" s="253"/>
    </row>
    <row r="7589" spans="23:23" ht="20.25" customHeight="1">
      <c r="W7589" s="253"/>
    </row>
    <row r="7590" spans="23:23" ht="20.25" customHeight="1">
      <c r="W7590" s="253"/>
    </row>
    <row r="7591" spans="23:23" ht="20.25" customHeight="1">
      <c r="W7591" s="253"/>
    </row>
    <row r="7592" spans="23:23" ht="20.25" customHeight="1">
      <c r="W7592" s="253"/>
    </row>
    <row r="7593" spans="23:23" ht="20.25" customHeight="1">
      <c r="W7593" s="253"/>
    </row>
    <row r="7594" spans="23:23" ht="20.25" customHeight="1">
      <c r="W7594" s="253"/>
    </row>
    <row r="7595" spans="23:23" ht="20.25" customHeight="1">
      <c r="W7595" s="253"/>
    </row>
    <row r="7596" spans="23:23" ht="20.25" customHeight="1">
      <c r="W7596" s="253"/>
    </row>
    <row r="7597" spans="23:23" ht="20.25" customHeight="1">
      <c r="W7597" s="253"/>
    </row>
    <row r="7598" spans="23:23" ht="20.25" customHeight="1">
      <c r="W7598" s="253"/>
    </row>
    <row r="7599" spans="23:23" ht="20.25" customHeight="1">
      <c r="W7599" s="253"/>
    </row>
    <row r="7600" spans="23:23" ht="20.25" customHeight="1">
      <c r="W7600" s="253"/>
    </row>
    <row r="7601" spans="23:23" ht="20.25" customHeight="1">
      <c r="W7601" s="253"/>
    </row>
    <row r="7602" spans="23:23" ht="20.25" customHeight="1">
      <c r="W7602" s="253"/>
    </row>
    <row r="7603" spans="23:23" ht="20.25" customHeight="1">
      <c r="W7603" s="253"/>
    </row>
    <row r="7604" spans="23:23" ht="20.25" customHeight="1">
      <c r="W7604" s="253"/>
    </row>
    <row r="7605" spans="23:23" ht="20.25" customHeight="1">
      <c r="W7605" s="253"/>
    </row>
    <row r="7606" spans="23:23" ht="20.25" customHeight="1">
      <c r="W7606" s="253"/>
    </row>
    <row r="7607" spans="23:23" ht="20.25" customHeight="1">
      <c r="W7607" s="253"/>
    </row>
    <row r="7608" spans="23:23" ht="20.25" customHeight="1">
      <c r="W7608" s="253"/>
    </row>
    <row r="7609" spans="23:23" ht="20.25" customHeight="1">
      <c r="W7609" s="253"/>
    </row>
    <row r="7610" spans="23:23" ht="20.25" customHeight="1">
      <c r="W7610" s="253"/>
    </row>
    <row r="7611" spans="23:23" ht="20.25" customHeight="1">
      <c r="W7611" s="253"/>
    </row>
    <row r="7612" spans="23:23" ht="20.25" customHeight="1">
      <c r="W7612" s="253"/>
    </row>
    <row r="7613" spans="23:23" ht="20.25" customHeight="1">
      <c r="W7613" s="253"/>
    </row>
    <row r="7614" spans="23:23" ht="20.25" customHeight="1">
      <c r="W7614" s="253"/>
    </row>
    <row r="7615" spans="23:23" ht="20.25" customHeight="1">
      <c r="W7615" s="253"/>
    </row>
    <row r="7616" spans="23:23" ht="20.25" customHeight="1">
      <c r="W7616" s="253"/>
    </row>
    <row r="7617" spans="23:23" ht="20.25" customHeight="1">
      <c r="W7617" s="253"/>
    </row>
    <row r="7618" spans="23:23" ht="20.25" customHeight="1">
      <c r="W7618" s="253"/>
    </row>
    <row r="7619" spans="23:23" ht="20.25" customHeight="1">
      <c r="W7619" s="253"/>
    </row>
    <row r="7620" spans="23:23" ht="20.25" customHeight="1">
      <c r="W7620" s="253"/>
    </row>
    <row r="7621" spans="23:23" ht="20.25" customHeight="1">
      <c r="W7621" s="253"/>
    </row>
    <row r="7622" spans="23:23" ht="20.25" customHeight="1">
      <c r="W7622" s="253"/>
    </row>
    <row r="7623" spans="23:23" ht="20.25" customHeight="1">
      <c r="W7623" s="253"/>
    </row>
    <row r="7624" spans="23:23" ht="20.25" customHeight="1">
      <c r="W7624" s="253"/>
    </row>
    <row r="7625" spans="23:23" ht="20.25" customHeight="1">
      <c r="W7625" s="253"/>
    </row>
    <row r="7626" spans="23:23" ht="20.25" customHeight="1">
      <c r="W7626" s="253"/>
    </row>
    <row r="7627" spans="23:23" ht="20.25" customHeight="1">
      <c r="W7627" s="253"/>
    </row>
    <row r="7628" spans="23:23" ht="20.25" customHeight="1">
      <c r="W7628" s="253"/>
    </row>
    <row r="7629" spans="23:23" ht="20.25" customHeight="1">
      <c r="W7629" s="253"/>
    </row>
    <row r="7630" spans="23:23" ht="20.25" customHeight="1">
      <c r="W7630" s="253"/>
    </row>
    <row r="7631" spans="23:23" ht="20.25" customHeight="1">
      <c r="W7631" s="253"/>
    </row>
    <row r="7632" spans="23:23" ht="20.25" customHeight="1">
      <c r="W7632" s="253"/>
    </row>
    <row r="7633" spans="23:23" ht="20.25" customHeight="1">
      <c r="W7633" s="253"/>
    </row>
    <row r="7634" spans="23:23" ht="20.25" customHeight="1">
      <c r="W7634" s="253"/>
    </row>
    <row r="7635" spans="23:23" ht="20.25" customHeight="1">
      <c r="W7635" s="253"/>
    </row>
    <row r="7636" spans="23:23" ht="20.25" customHeight="1">
      <c r="W7636" s="253"/>
    </row>
    <row r="7637" spans="23:23" ht="20.25" customHeight="1">
      <c r="W7637" s="253"/>
    </row>
    <row r="7638" spans="23:23" ht="20.25" customHeight="1">
      <c r="W7638" s="253"/>
    </row>
    <row r="7639" spans="23:23" ht="20.25" customHeight="1">
      <c r="W7639" s="253"/>
    </row>
    <row r="7640" spans="23:23" ht="20.25" customHeight="1">
      <c r="W7640" s="253"/>
    </row>
    <row r="7641" spans="23:23" ht="20.25" customHeight="1">
      <c r="W7641" s="253"/>
    </row>
    <row r="7642" spans="23:23" ht="20.25" customHeight="1">
      <c r="W7642" s="253"/>
    </row>
    <row r="7643" spans="23:23" ht="20.25" customHeight="1">
      <c r="W7643" s="253"/>
    </row>
    <row r="7644" spans="23:23" ht="20.25" customHeight="1">
      <c r="W7644" s="253"/>
    </row>
    <row r="7645" spans="23:23" ht="20.25" customHeight="1">
      <c r="W7645" s="253"/>
    </row>
    <row r="7646" spans="23:23" ht="20.25" customHeight="1">
      <c r="W7646" s="253"/>
    </row>
    <row r="7647" spans="23:23" ht="20.25" customHeight="1">
      <c r="W7647" s="253"/>
    </row>
    <row r="7648" spans="23:23" ht="20.25" customHeight="1">
      <c r="W7648" s="253"/>
    </row>
    <row r="7649" spans="23:23" ht="20.25" customHeight="1">
      <c r="W7649" s="253"/>
    </row>
    <row r="7650" spans="23:23" ht="20.25" customHeight="1">
      <c r="W7650" s="253"/>
    </row>
    <row r="7651" spans="23:23" ht="20.25" customHeight="1">
      <c r="W7651" s="253"/>
    </row>
    <row r="7652" spans="23:23" ht="20.25" customHeight="1">
      <c r="W7652" s="253"/>
    </row>
    <row r="7653" spans="23:23" ht="20.25" customHeight="1">
      <c r="W7653" s="253"/>
    </row>
    <row r="7654" spans="23:23" ht="20.25" customHeight="1">
      <c r="W7654" s="253"/>
    </row>
    <row r="7655" spans="23:23" ht="20.25" customHeight="1">
      <c r="W7655" s="253"/>
    </row>
    <row r="7656" spans="23:23" ht="20.25" customHeight="1">
      <c r="W7656" s="253"/>
    </row>
    <row r="7657" spans="23:23" ht="20.25" customHeight="1">
      <c r="W7657" s="253"/>
    </row>
    <row r="7658" spans="23:23" ht="20.25" customHeight="1">
      <c r="W7658" s="253"/>
    </row>
    <row r="7659" spans="23:23" ht="20.25" customHeight="1">
      <c r="W7659" s="253"/>
    </row>
    <row r="7660" spans="23:23" ht="20.25" customHeight="1">
      <c r="W7660" s="253"/>
    </row>
    <row r="7661" spans="23:23" ht="20.25" customHeight="1">
      <c r="W7661" s="253"/>
    </row>
    <row r="7662" spans="23:23" ht="20.25" customHeight="1">
      <c r="W7662" s="253"/>
    </row>
    <row r="7663" spans="23:23" ht="20.25" customHeight="1">
      <c r="W7663" s="253"/>
    </row>
    <row r="7664" spans="23:23" ht="20.25" customHeight="1">
      <c r="W7664" s="253"/>
    </row>
    <row r="7665" spans="23:23" ht="20.25" customHeight="1">
      <c r="W7665" s="253"/>
    </row>
    <row r="7666" spans="23:23" ht="20.25" customHeight="1">
      <c r="W7666" s="253"/>
    </row>
    <row r="7667" spans="23:23" ht="20.25" customHeight="1">
      <c r="W7667" s="253"/>
    </row>
    <row r="7668" spans="23:23" ht="20.25" customHeight="1">
      <c r="W7668" s="253"/>
    </row>
    <row r="7669" spans="23:23" ht="20.25" customHeight="1">
      <c r="W7669" s="253"/>
    </row>
    <row r="7670" spans="23:23" ht="20.25" customHeight="1">
      <c r="W7670" s="253"/>
    </row>
    <row r="7671" spans="23:23" ht="20.25" customHeight="1">
      <c r="W7671" s="253"/>
    </row>
    <row r="7672" spans="23:23" ht="20.25" customHeight="1">
      <c r="W7672" s="253"/>
    </row>
    <row r="7673" spans="23:23" ht="20.25" customHeight="1">
      <c r="W7673" s="253"/>
    </row>
    <row r="7674" spans="23:23" ht="20.25" customHeight="1">
      <c r="W7674" s="253"/>
    </row>
    <row r="7675" spans="23:23" ht="20.25" customHeight="1">
      <c r="W7675" s="253"/>
    </row>
    <row r="7676" spans="23:23" ht="20.25" customHeight="1">
      <c r="W7676" s="253"/>
    </row>
    <row r="7677" spans="23:23" ht="20.25" customHeight="1">
      <c r="W7677" s="253"/>
    </row>
    <row r="7678" spans="23:23" ht="20.25" customHeight="1">
      <c r="W7678" s="253"/>
    </row>
    <row r="7679" spans="23:23" ht="20.25" customHeight="1">
      <c r="W7679" s="253"/>
    </row>
    <row r="7680" spans="23:23" ht="20.25" customHeight="1">
      <c r="W7680" s="253"/>
    </row>
    <row r="7681" spans="23:23" ht="20.25" customHeight="1">
      <c r="W7681" s="253"/>
    </row>
    <row r="7682" spans="23:23" ht="20.25" customHeight="1">
      <c r="W7682" s="253"/>
    </row>
    <row r="7683" spans="23:23" ht="20.25" customHeight="1">
      <c r="W7683" s="253"/>
    </row>
    <row r="7684" spans="23:23" ht="20.25" customHeight="1">
      <c r="W7684" s="253"/>
    </row>
    <row r="7685" spans="23:23" ht="20.25" customHeight="1">
      <c r="W7685" s="253"/>
    </row>
    <row r="7686" spans="23:23" ht="20.25" customHeight="1">
      <c r="W7686" s="253"/>
    </row>
    <row r="7687" spans="23:23" ht="20.25" customHeight="1">
      <c r="W7687" s="253"/>
    </row>
    <row r="7688" spans="23:23" ht="20.25" customHeight="1">
      <c r="W7688" s="253"/>
    </row>
    <row r="7689" spans="23:23" ht="20.25" customHeight="1">
      <c r="W7689" s="253"/>
    </row>
    <row r="7690" spans="23:23" ht="20.25" customHeight="1">
      <c r="W7690" s="253"/>
    </row>
    <row r="7691" spans="23:23" ht="20.25" customHeight="1">
      <c r="W7691" s="253"/>
    </row>
    <row r="7692" spans="23:23" ht="20.25" customHeight="1">
      <c r="W7692" s="253"/>
    </row>
    <row r="7693" spans="23:23" ht="20.25" customHeight="1">
      <c r="W7693" s="253"/>
    </row>
    <row r="7694" spans="23:23" ht="20.25" customHeight="1">
      <c r="W7694" s="253"/>
    </row>
    <row r="7695" spans="23:23" ht="20.25" customHeight="1">
      <c r="W7695" s="253"/>
    </row>
    <row r="7696" spans="23:23" ht="20.25" customHeight="1">
      <c r="W7696" s="253"/>
    </row>
    <row r="7697" spans="23:23" ht="20.25" customHeight="1">
      <c r="W7697" s="253"/>
    </row>
    <row r="7698" spans="23:23" ht="20.25" customHeight="1">
      <c r="W7698" s="253"/>
    </row>
    <row r="7699" spans="23:23" ht="20.25" customHeight="1">
      <c r="W7699" s="253"/>
    </row>
    <row r="7700" spans="23:23" ht="20.25" customHeight="1">
      <c r="W7700" s="253"/>
    </row>
    <row r="7701" spans="23:23" ht="20.25" customHeight="1">
      <c r="W7701" s="253"/>
    </row>
    <row r="7702" spans="23:23" ht="20.25" customHeight="1">
      <c r="W7702" s="253"/>
    </row>
    <row r="7703" spans="23:23" ht="20.25" customHeight="1">
      <c r="W7703" s="253"/>
    </row>
    <row r="7704" spans="23:23" ht="20.25" customHeight="1">
      <c r="W7704" s="253"/>
    </row>
    <row r="7705" spans="23:23" ht="20.25" customHeight="1">
      <c r="W7705" s="253"/>
    </row>
    <row r="7706" spans="23:23" ht="20.25" customHeight="1">
      <c r="W7706" s="253"/>
    </row>
    <row r="7707" spans="23:23" ht="20.25" customHeight="1">
      <c r="W7707" s="253"/>
    </row>
    <row r="7708" spans="23:23" ht="20.25" customHeight="1">
      <c r="W7708" s="253"/>
    </row>
    <row r="7709" spans="23:23" ht="20.25" customHeight="1">
      <c r="W7709" s="253"/>
    </row>
    <row r="7710" spans="23:23" ht="20.25" customHeight="1">
      <c r="W7710" s="253"/>
    </row>
    <row r="7711" spans="23:23" ht="20.25" customHeight="1">
      <c r="W7711" s="253"/>
    </row>
    <row r="7712" spans="23:23" ht="20.25" customHeight="1">
      <c r="W7712" s="253"/>
    </row>
    <row r="7713" spans="23:23" ht="20.25" customHeight="1">
      <c r="W7713" s="253"/>
    </row>
    <row r="7714" spans="23:23" ht="20.25" customHeight="1">
      <c r="W7714" s="253"/>
    </row>
    <row r="7715" spans="23:23" ht="20.25" customHeight="1">
      <c r="W7715" s="253"/>
    </row>
    <row r="7716" spans="23:23" ht="20.25" customHeight="1">
      <c r="W7716" s="253"/>
    </row>
    <row r="7717" spans="23:23" ht="20.25" customHeight="1">
      <c r="W7717" s="253"/>
    </row>
    <row r="7718" spans="23:23" ht="20.25" customHeight="1">
      <c r="W7718" s="253"/>
    </row>
    <row r="7719" spans="23:23" ht="20.25" customHeight="1">
      <c r="W7719" s="253"/>
    </row>
    <row r="7720" spans="23:23" ht="20.25" customHeight="1">
      <c r="W7720" s="253"/>
    </row>
    <row r="7721" spans="23:23" ht="20.25" customHeight="1">
      <c r="W7721" s="253"/>
    </row>
    <row r="7722" spans="23:23" ht="20.25" customHeight="1">
      <c r="W7722" s="253"/>
    </row>
    <row r="7723" spans="23:23" ht="20.25" customHeight="1">
      <c r="W7723" s="253"/>
    </row>
    <row r="7724" spans="23:23" ht="20.25" customHeight="1">
      <c r="W7724" s="253"/>
    </row>
    <row r="7725" spans="23:23" ht="20.25" customHeight="1">
      <c r="W7725" s="253"/>
    </row>
    <row r="7726" spans="23:23" ht="20.25" customHeight="1">
      <c r="W7726" s="253"/>
    </row>
    <row r="7727" spans="23:23" ht="20.25" customHeight="1">
      <c r="W7727" s="253"/>
    </row>
    <row r="7728" spans="23:23" ht="20.25" customHeight="1">
      <c r="W7728" s="253"/>
    </row>
    <row r="7729" spans="23:23" ht="20.25" customHeight="1">
      <c r="W7729" s="253"/>
    </row>
    <row r="7730" spans="23:23" ht="20.25" customHeight="1">
      <c r="W7730" s="253"/>
    </row>
    <row r="7731" spans="23:23" ht="20.25" customHeight="1">
      <c r="W7731" s="253"/>
    </row>
    <row r="7732" spans="23:23" ht="20.25" customHeight="1">
      <c r="W7732" s="253"/>
    </row>
    <row r="7733" spans="23:23" ht="20.25" customHeight="1">
      <c r="W7733" s="253"/>
    </row>
    <row r="7734" spans="23:23" ht="20.25" customHeight="1">
      <c r="W7734" s="253"/>
    </row>
    <row r="7735" spans="23:23" ht="20.25" customHeight="1">
      <c r="W7735" s="253"/>
    </row>
    <row r="7736" spans="23:23" ht="20.25" customHeight="1">
      <c r="W7736" s="253"/>
    </row>
    <row r="7737" spans="23:23" ht="20.25" customHeight="1">
      <c r="W7737" s="253"/>
    </row>
    <row r="7738" spans="23:23" ht="20.25" customHeight="1">
      <c r="W7738" s="253"/>
    </row>
    <row r="7739" spans="23:23" ht="20.25" customHeight="1">
      <c r="W7739" s="253"/>
    </row>
    <row r="7740" spans="23:23" ht="20.25" customHeight="1">
      <c r="W7740" s="253"/>
    </row>
    <row r="7741" spans="23:23" ht="20.25" customHeight="1">
      <c r="W7741" s="253"/>
    </row>
    <row r="7742" spans="23:23" ht="20.25" customHeight="1">
      <c r="W7742" s="253"/>
    </row>
    <row r="7743" spans="23:23" ht="20.25" customHeight="1">
      <c r="W7743" s="253"/>
    </row>
    <row r="7744" spans="23:23" ht="20.25" customHeight="1">
      <c r="W7744" s="253"/>
    </row>
    <row r="7745" spans="23:23" ht="20.25" customHeight="1">
      <c r="W7745" s="253"/>
    </row>
    <row r="7746" spans="23:23" ht="20.25" customHeight="1">
      <c r="W7746" s="253"/>
    </row>
    <row r="7747" spans="23:23" ht="20.25" customHeight="1">
      <c r="W7747" s="253"/>
    </row>
    <row r="7748" spans="23:23" ht="20.25" customHeight="1">
      <c r="W7748" s="253"/>
    </row>
    <row r="7749" spans="23:23" ht="20.25" customHeight="1">
      <c r="W7749" s="253"/>
    </row>
    <row r="7750" spans="23:23" ht="20.25" customHeight="1">
      <c r="W7750" s="253"/>
    </row>
    <row r="7751" spans="23:23" ht="20.25" customHeight="1">
      <c r="W7751" s="253"/>
    </row>
    <row r="7752" spans="23:23" ht="20.25" customHeight="1">
      <c r="W7752" s="253"/>
    </row>
    <row r="7753" spans="23:23" ht="20.25" customHeight="1">
      <c r="W7753" s="253"/>
    </row>
    <row r="7754" spans="23:23" ht="20.25" customHeight="1">
      <c r="W7754" s="253"/>
    </row>
    <row r="7755" spans="23:23" ht="20.25" customHeight="1">
      <c r="W7755" s="253"/>
    </row>
    <row r="7756" spans="23:23" ht="20.25" customHeight="1">
      <c r="W7756" s="253"/>
    </row>
    <row r="7757" spans="23:23" ht="20.25" customHeight="1">
      <c r="W7757" s="253"/>
    </row>
    <row r="7758" spans="23:23" ht="20.25" customHeight="1">
      <c r="W7758" s="253"/>
    </row>
    <row r="7759" spans="23:23" ht="20.25" customHeight="1">
      <c r="W7759" s="253"/>
    </row>
    <row r="7760" spans="23:23" ht="20.25" customHeight="1">
      <c r="W7760" s="253"/>
    </row>
    <row r="7761" spans="23:23" ht="20.25" customHeight="1">
      <c r="W7761" s="253"/>
    </row>
    <row r="7762" spans="23:23" ht="20.25" customHeight="1">
      <c r="W7762" s="253"/>
    </row>
    <row r="7763" spans="23:23" ht="20.25" customHeight="1">
      <c r="W7763" s="253"/>
    </row>
    <row r="7764" spans="23:23" ht="20.25" customHeight="1">
      <c r="W7764" s="253"/>
    </row>
    <row r="7765" spans="23:23" ht="20.25" customHeight="1">
      <c r="W7765" s="253"/>
    </row>
    <row r="7766" spans="23:23" ht="20.25" customHeight="1">
      <c r="W7766" s="253"/>
    </row>
    <row r="7767" spans="23:23" ht="20.25" customHeight="1">
      <c r="W7767" s="253"/>
    </row>
    <row r="7768" spans="23:23" ht="20.25" customHeight="1">
      <c r="W7768" s="253"/>
    </row>
    <row r="7769" spans="23:23" ht="20.25" customHeight="1">
      <c r="W7769" s="253"/>
    </row>
    <row r="7770" spans="23:23" ht="20.25" customHeight="1">
      <c r="W7770" s="253"/>
    </row>
    <row r="7771" spans="23:23" ht="20.25" customHeight="1">
      <c r="W7771" s="253"/>
    </row>
    <row r="7772" spans="23:23" ht="20.25" customHeight="1">
      <c r="W7772" s="253"/>
    </row>
    <row r="7773" spans="23:23" ht="20.25" customHeight="1">
      <c r="W7773" s="253"/>
    </row>
    <row r="7774" spans="23:23" ht="20.25" customHeight="1">
      <c r="W7774" s="253"/>
    </row>
    <row r="7775" spans="23:23" ht="20.25" customHeight="1">
      <c r="W7775" s="253"/>
    </row>
    <row r="7776" spans="23:23" ht="20.25" customHeight="1">
      <c r="W7776" s="253"/>
    </row>
    <row r="7777" spans="23:23" ht="20.25" customHeight="1">
      <c r="W7777" s="253"/>
    </row>
    <row r="7778" spans="23:23" ht="20.25" customHeight="1">
      <c r="W7778" s="253"/>
    </row>
    <row r="7779" spans="23:23" ht="20.25" customHeight="1">
      <c r="W7779" s="253"/>
    </row>
    <row r="7780" spans="23:23" ht="20.25" customHeight="1">
      <c r="W7780" s="253"/>
    </row>
    <row r="7781" spans="23:23" ht="20.25" customHeight="1">
      <c r="W7781" s="253"/>
    </row>
    <row r="7782" spans="23:23" ht="20.25" customHeight="1">
      <c r="W7782" s="253"/>
    </row>
    <row r="7783" spans="23:23" ht="20.25" customHeight="1">
      <c r="W7783" s="253"/>
    </row>
    <row r="7784" spans="23:23" ht="20.25" customHeight="1">
      <c r="W7784" s="253"/>
    </row>
    <row r="7785" spans="23:23" ht="20.25" customHeight="1">
      <c r="W7785" s="253"/>
    </row>
    <row r="7786" spans="23:23" ht="20.25" customHeight="1">
      <c r="W7786" s="253"/>
    </row>
    <row r="7787" spans="23:23" ht="20.25" customHeight="1">
      <c r="W7787" s="253"/>
    </row>
    <row r="7788" spans="23:23" ht="20.25" customHeight="1">
      <c r="W7788" s="253"/>
    </row>
    <row r="7789" spans="23:23" ht="20.25" customHeight="1">
      <c r="W7789" s="253"/>
    </row>
    <row r="7790" spans="23:23" ht="20.25" customHeight="1">
      <c r="W7790" s="253"/>
    </row>
    <row r="7791" spans="23:23" ht="20.25" customHeight="1">
      <c r="W7791" s="253"/>
    </row>
    <row r="7792" spans="23:23" ht="20.25" customHeight="1">
      <c r="W7792" s="253"/>
    </row>
    <row r="7793" spans="23:23" ht="20.25" customHeight="1">
      <c r="W7793" s="253"/>
    </row>
    <row r="7794" spans="23:23" ht="20.25" customHeight="1">
      <c r="W7794" s="253"/>
    </row>
    <row r="7795" spans="23:23" ht="20.25" customHeight="1">
      <c r="W7795" s="253"/>
    </row>
    <row r="7796" spans="23:23" ht="20.25" customHeight="1">
      <c r="W7796" s="253"/>
    </row>
    <row r="7797" spans="23:23" ht="20.25" customHeight="1">
      <c r="W7797" s="253"/>
    </row>
    <row r="7798" spans="23:23" ht="20.25" customHeight="1">
      <c r="W7798" s="253"/>
    </row>
    <row r="7799" spans="23:23" ht="20.25" customHeight="1">
      <c r="W7799" s="253"/>
    </row>
    <row r="7800" spans="23:23" ht="20.25" customHeight="1">
      <c r="W7800" s="253"/>
    </row>
    <row r="7801" spans="23:23" ht="20.25" customHeight="1">
      <c r="W7801" s="253"/>
    </row>
    <row r="7802" spans="23:23" ht="20.25" customHeight="1">
      <c r="W7802" s="253"/>
    </row>
    <row r="7803" spans="23:23" ht="20.25" customHeight="1">
      <c r="W7803" s="253"/>
    </row>
    <row r="7804" spans="23:23" ht="20.25" customHeight="1">
      <c r="W7804" s="253"/>
    </row>
    <row r="7805" spans="23:23" ht="20.25" customHeight="1">
      <c r="W7805" s="253"/>
    </row>
    <row r="7806" spans="23:23" ht="20.25" customHeight="1">
      <c r="W7806" s="253"/>
    </row>
    <row r="7807" spans="23:23" ht="20.25" customHeight="1">
      <c r="W7807" s="253"/>
    </row>
    <row r="7808" spans="23:23" ht="20.25" customHeight="1">
      <c r="W7808" s="253"/>
    </row>
    <row r="7809" spans="23:23" ht="20.25" customHeight="1">
      <c r="W7809" s="253"/>
    </row>
    <row r="7810" spans="23:23" ht="20.25" customHeight="1">
      <c r="W7810" s="253"/>
    </row>
    <row r="7811" spans="23:23" ht="20.25" customHeight="1">
      <c r="W7811" s="253"/>
    </row>
    <row r="7812" spans="23:23" ht="20.25" customHeight="1">
      <c r="W7812" s="253"/>
    </row>
    <row r="7813" spans="23:23" ht="20.25" customHeight="1">
      <c r="W7813" s="253"/>
    </row>
    <row r="7814" spans="23:23" ht="20.25" customHeight="1">
      <c r="W7814" s="253"/>
    </row>
    <row r="7815" spans="23:23" ht="20.25" customHeight="1">
      <c r="W7815" s="253"/>
    </row>
    <row r="7816" spans="23:23" ht="20.25" customHeight="1">
      <c r="W7816" s="253"/>
    </row>
    <row r="7817" spans="23:23" ht="20.25" customHeight="1">
      <c r="W7817" s="253"/>
    </row>
    <row r="7818" spans="23:23" ht="20.25" customHeight="1">
      <c r="W7818" s="253"/>
    </row>
    <row r="7819" spans="23:23" ht="20.25" customHeight="1">
      <c r="W7819" s="253"/>
    </row>
    <row r="7820" spans="23:23" ht="20.25" customHeight="1">
      <c r="W7820" s="253"/>
    </row>
    <row r="7821" spans="23:23" ht="20.25" customHeight="1">
      <c r="W7821" s="253"/>
    </row>
    <row r="7822" spans="23:23" ht="20.25" customHeight="1">
      <c r="W7822" s="253"/>
    </row>
    <row r="7823" spans="23:23" ht="20.25" customHeight="1">
      <c r="W7823" s="253"/>
    </row>
    <row r="7824" spans="23:23" ht="20.25" customHeight="1">
      <c r="W7824" s="253"/>
    </row>
    <row r="7825" spans="23:23" ht="20.25" customHeight="1">
      <c r="W7825" s="253"/>
    </row>
    <row r="7826" spans="23:23" ht="20.25" customHeight="1">
      <c r="W7826" s="253"/>
    </row>
    <row r="7827" spans="23:23" ht="20.25" customHeight="1">
      <c r="W7827" s="253"/>
    </row>
    <row r="7828" spans="23:23" ht="20.25" customHeight="1">
      <c r="W7828" s="253"/>
    </row>
    <row r="7829" spans="23:23" ht="20.25" customHeight="1">
      <c r="W7829" s="253"/>
    </row>
    <row r="7830" spans="23:23" ht="20.25" customHeight="1">
      <c r="W7830" s="253"/>
    </row>
    <row r="7831" spans="23:23" ht="20.25" customHeight="1">
      <c r="W7831" s="253"/>
    </row>
    <row r="7832" spans="23:23" ht="20.25" customHeight="1">
      <c r="W7832" s="253"/>
    </row>
    <row r="7833" spans="23:23" ht="20.25" customHeight="1">
      <c r="W7833" s="253"/>
    </row>
    <row r="7834" spans="23:23" ht="20.25" customHeight="1">
      <c r="W7834" s="253"/>
    </row>
    <row r="7835" spans="23:23" ht="20.25" customHeight="1">
      <c r="W7835" s="253"/>
    </row>
    <row r="7836" spans="23:23" ht="20.25" customHeight="1">
      <c r="W7836" s="253"/>
    </row>
    <row r="7837" spans="23:23" ht="20.25" customHeight="1">
      <c r="W7837" s="253"/>
    </row>
    <row r="7838" spans="23:23" ht="20.25" customHeight="1">
      <c r="W7838" s="253"/>
    </row>
    <row r="7839" spans="23:23" ht="20.25" customHeight="1">
      <c r="W7839" s="253"/>
    </row>
    <row r="7840" spans="23:23" ht="20.25" customHeight="1">
      <c r="W7840" s="253"/>
    </row>
    <row r="7841" spans="23:23" ht="20.25" customHeight="1">
      <c r="W7841" s="253"/>
    </row>
    <row r="7842" spans="23:23" ht="20.25" customHeight="1">
      <c r="W7842" s="253"/>
    </row>
    <row r="7843" spans="23:23" ht="20.25" customHeight="1">
      <c r="W7843" s="253"/>
    </row>
    <row r="7844" spans="23:23" ht="20.25" customHeight="1">
      <c r="W7844" s="253"/>
    </row>
    <row r="7845" spans="23:23" ht="20.25" customHeight="1">
      <c r="W7845" s="253"/>
    </row>
    <row r="7846" spans="23:23" ht="20.25" customHeight="1">
      <c r="W7846" s="253"/>
    </row>
    <row r="7847" spans="23:23" ht="20.25" customHeight="1">
      <c r="W7847" s="253"/>
    </row>
    <row r="7848" spans="23:23" ht="20.25" customHeight="1">
      <c r="W7848" s="253"/>
    </row>
    <row r="7849" spans="23:23" ht="20.25" customHeight="1">
      <c r="W7849" s="253"/>
    </row>
    <row r="7850" spans="23:23" ht="20.25" customHeight="1">
      <c r="W7850" s="253"/>
    </row>
    <row r="7851" spans="23:23" ht="20.25" customHeight="1">
      <c r="W7851" s="253"/>
    </row>
    <row r="7852" spans="23:23" ht="20.25" customHeight="1">
      <c r="W7852" s="253"/>
    </row>
    <row r="7853" spans="23:23" ht="20.25" customHeight="1">
      <c r="W7853" s="253"/>
    </row>
    <row r="7854" spans="23:23" ht="20.25" customHeight="1">
      <c r="W7854" s="253"/>
    </row>
    <row r="7855" spans="23:23" ht="20.25" customHeight="1">
      <c r="W7855" s="253"/>
    </row>
    <row r="7856" spans="23:23" ht="20.25" customHeight="1">
      <c r="W7856" s="253"/>
    </row>
    <row r="7857" spans="23:23" ht="20.25" customHeight="1">
      <c r="W7857" s="253"/>
    </row>
    <row r="7858" spans="23:23" ht="20.25" customHeight="1">
      <c r="W7858" s="253"/>
    </row>
    <row r="7859" spans="23:23" ht="20.25" customHeight="1">
      <c r="W7859" s="253"/>
    </row>
    <row r="7860" spans="23:23" ht="20.25" customHeight="1">
      <c r="W7860" s="253"/>
    </row>
    <row r="7861" spans="23:23" ht="20.25" customHeight="1">
      <c r="W7861" s="253"/>
    </row>
    <row r="7862" spans="23:23" ht="20.25" customHeight="1">
      <c r="W7862" s="253"/>
    </row>
    <row r="7863" spans="23:23" ht="20.25" customHeight="1">
      <c r="W7863" s="253"/>
    </row>
    <row r="7864" spans="23:23" ht="20.25" customHeight="1">
      <c r="W7864" s="253"/>
    </row>
    <row r="7865" spans="23:23" ht="20.25" customHeight="1">
      <c r="W7865" s="253"/>
    </row>
    <row r="7866" spans="23:23" ht="20.25" customHeight="1">
      <c r="W7866" s="253"/>
    </row>
    <row r="7867" spans="23:23" ht="20.25" customHeight="1">
      <c r="W7867" s="253"/>
    </row>
    <row r="7868" spans="23:23" ht="20.25" customHeight="1">
      <c r="W7868" s="253"/>
    </row>
    <row r="7869" spans="23:23" ht="20.25" customHeight="1">
      <c r="W7869" s="253"/>
    </row>
    <row r="7870" spans="23:23" ht="20.25" customHeight="1">
      <c r="W7870" s="253"/>
    </row>
    <row r="7871" spans="23:23" ht="20.25" customHeight="1">
      <c r="W7871" s="253"/>
    </row>
    <row r="7872" spans="23:23" ht="20.25" customHeight="1">
      <c r="W7872" s="253"/>
    </row>
    <row r="7873" spans="23:23" ht="20.25" customHeight="1">
      <c r="W7873" s="253"/>
    </row>
    <row r="7874" spans="23:23" ht="20.25" customHeight="1">
      <c r="W7874" s="253"/>
    </row>
    <row r="7875" spans="23:23" ht="20.25" customHeight="1">
      <c r="W7875" s="253"/>
    </row>
    <row r="7876" spans="23:23" ht="20.25" customHeight="1">
      <c r="W7876" s="253"/>
    </row>
    <row r="7877" spans="23:23" ht="20.25" customHeight="1">
      <c r="W7877" s="253"/>
    </row>
    <row r="7878" spans="23:23" ht="20.25" customHeight="1">
      <c r="W7878" s="253"/>
    </row>
    <row r="7879" spans="23:23" ht="20.25" customHeight="1">
      <c r="W7879" s="253"/>
    </row>
    <row r="7880" spans="23:23" ht="20.25" customHeight="1">
      <c r="W7880" s="253"/>
    </row>
    <row r="7881" spans="23:23" ht="20.25" customHeight="1">
      <c r="W7881" s="253"/>
    </row>
    <row r="7882" spans="23:23" ht="20.25" customHeight="1">
      <c r="W7882" s="253"/>
    </row>
    <row r="7883" spans="23:23" ht="20.25" customHeight="1">
      <c r="W7883" s="253"/>
    </row>
    <row r="7884" spans="23:23" ht="20.25" customHeight="1">
      <c r="W7884" s="253"/>
    </row>
    <row r="7885" spans="23:23" ht="20.25" customHeight="1">
      <c r="W7885" s="253"/>
    </row>
    <row r="7886" spans="23:23" ht="20.25" customHeight="1">
      <c r="W7886" s="253"/>
    </row>
    <row r="7887" spans="23:23" ht="20.25" customHeight="1">
      <c r="W7887" s="253"/>
    </row>
    <row r="7888" spans="23:23" ht="20.25" customHeight="1">
      <c r="W7888" s="253"/>
    </row>
    <row r="7889" spans="23:23" ht="20.25" customHeight="1">
      <c r="W7889" s="253"/>
    </row>
    <row r="7890" spans="23:23" ht="20.25" customHeight="1">
      <c r="W7890" s="253"/>
    </row>
    <row r="7891" spans="23:23" ht="20.25" customHeight="1">
      <c r="W7891" s="253"/>
    </row>
    <row r="7892" spans="23:23" ht="20.25" customHeight="1">
      <c r="W7892" s="253"/>
    </row>
    <row r="7893" spans="23:23" ht="20.25" customHeight="1">
      <c r="W7893" s="253"/>
    </row>
    <row r="7894" spans="23:23" ht="20.25" customHeight="1">
      <c r="W7894" s="253"/>
    </row>
    <row r="7895" spans="23:23" ht="20.25" customHeight="1">
      <c r="W7895" s="253"/>
    </row>
    <row r="7896" spans="23:23" ht="20.25" customHeight="1">
      <c r="W7896" s="253"/>
    </row>
    <row r="7897" spans="23:23" ht="20.25" customHeight="1">
      <c r="W7897" s="253"/>
    </row>
    <row r="7898" spans="23:23" ht="20.25" customHeight="1">
      <c r="W7898" s="253"/>
    </row>
    <row r="7899" spans="23:23" ht="20.25" customHeight="1">
      <c r="W7899" s="253"/>
    </row>
    <row r="7900" spans="23:23" ht="20.25" customHeight="1">
      <c r="W7900" s="253"/>
    </row>
    <row r="7901" spans="23:23" ht="20.25" customHeight="1">
      <c r="W7901" s="253"/>
    </row>
    <row r="7902" spans="23:23" ht="20.25" customHeight="1">
      <c r="W7902" s="253"/>
    </row>
    <row r="7903" spans="23:23" ht="20.25" customHeight="1">
      <c r="W7903" s="253"/>
    </row>
    <row r="7904" spans="23:23" ht="20.25" customHeight="1">
      <c r="W7904" s="253"/>
    </row>
    <row r="7905" spans="23:23" ht="20.25" customHeight="1">
      <c r="W7905" s="253"/>
    </row>
    <row r="7906" spans="23:23" ht="20.25" customHeight="1">
      <c r="W7906" s="253"/>
    </row>
    <row r="7907" spans="23:23" ht="20.25" customHeight="1">
      <c r="W7907" s="253"/>
    </row>
    <row r="7908" spans="23:23" ht="20.25" customHeight="1">
      <c r="W7908" s="253"/>
    </row>
    <row r="7909" spans="23:23" ht="20.25" customHeight="1">
      <c r="W7909" s="253"/>
    </row>
    <row r="7910" spans="23:23" ht="20.25" customHeight="1">
      <c r="W7910" s="253"/>
    </row>
    <row r="7911" spans="23:23" ht="20.25" customHeight="1">
      <c r="W7911" s="253"/>
    </row>
    <row r="7912" spans="23:23" ht="20.25" customHeight="1">
      <c r="W7912" s="253"/>
    </row>
    <row r="7913" spans="23:23" ht="20.25" customHeight="1">
      <c r="W7913" s="253"/>
    </row>
    <row r="7914" spans="23:23" ht="20.25" customHeight="1">
      <c r="W7914" s="253"/>
    </row>
    <row r="7915" spans="23:23" ht="20.25" customHeight="1">
      <c r="W7915" s="253"/>
    </row>
    <row r="7916" spans="23:23" ht="20.25" customHeight="1">
      <c r="W7916" s="253"/>
    </row>
    <row r="7917" spans="23:23" ht="20.25" customHeight="1">
      <c r="W7917" s="253"/>
    </row>
    <row r="7918" spans="23:23" ht="20.25" customHeight="1">
      <c r="W7918" s="253"/>
    </row>
    <row r="7919" spans="23:23" ht="20.25" customHeight="1">
      <c r="W7919" s="253"/>
    </row>
    <row r="7920" spans="23:23" ht="20.25" customHeight="1">
      <c r="W7920" s="253"/>
    </row>
    <row r="7921" spans="23:23" ht="20.25" customHeight="1">
      <c r="W7921" s="253"/>
    </row>
    <row r="7922" spans="23:23" ht="20.25" customHeight="1">
      <c r="W7922" s="253"/>
    </row>
    <row r="7923" spans="23:23" ht="20.25" customHeight="1">
      <c r="W7923" s="253"/>
    </row>
    <row r="7924" spans="23:23" ht="20.25" customHeight="1">
      <c r="W7924" s="253"/>
    </row>
    <row r="7925" spans="23:23" ht="20.25" customHeight="1">
      <c r="W7925" s="253"/>
    </row>
    <row r="7926" spans="23:23" ht="20.25" customHeight="1">
      <c r="W7926" s="253"/>
    </row>
    <row r="7927" spans="23:23" ht="20.25" customHeight="1">
      <c r="W7927" s="253"/>
    </row>
    <row r="7928" spans="23:23" ht="20.25" customHeight="1">
      <c r="W7928" s="253"/>
    </row>
    <row r="7929" spans="23:23" ht="20.25" customHeight="1">
      <c r="W7929" s="253"/>
    </row>
    <row r="7930" spans="23:23" ht="20.25" customHeight="1">
      <c r="W7930" s="253"/>
    </row>
    <row r="7931" spans="23:23" ht="20.25" customHeight="1">
      <c r="W7931" s="253"/>
    </row>
    <row r="7932" spans="23:23" ht="20.25" customHeight="1">
      <c r="W7932" s="253"/>
    </row>
    <row r="7933" spans="23:23" ht="20.25" customHeight="1">
      <c r="W7933" s="253"/>
    </row>
    <row r="7934" spans="23:23" ht="20.25" customHeight="1">
      <c r="W7934" s="253"/>
    </row>
    <row r="7935" spans="23:23" ht="20.25" customHeight="1">
      <c r="W7935" s="253"/>
    </row>
    <row r="7936" spans="23:23" ht="20.25" customHeight="1">
      <c r="W7936" s="253"/>
    </row>
    <row r="7937" spans="23:23" ht="20.25" customHeight="1">
      <c r="W7937" s="253"/>
    </row>
    <row r="7938" spans="23:23" ht="20.25" customHeight="1">
      <c r="W7938" s="253"/>
    </row>
    <row r="7939" spans="23:23" ht="20.25" customHeight="1">
      <c r="W7939" s="253"/>
    </row>
    <row r="7940" spans="23:23" ht="20.25" customHeight="1">
      <c r="W7940" s="253"/>
    </row>
    <row r="7941" spans="23:23" ht="20.25" customHeight="1">
      <c r="W7941" s="253"/>
    </row>
    <row r="7942" spans="23:23" ht="20.25" customHeight="1">
      <c r="W7942" s="253"/>
    </row>
    <row r="7943" spans="23:23" ht="20.25" customHeight="1">
      <c r="W7943" s="253"/>
    </row>
    <row r="7944" spans="23:23" ht="20.25" customHeight="1">
      <c r="W7944" s="253"/>
    </row>
    <row r="7945" spans="23:23" ht="20.25" customHeight="1">
      <c r="W7945" s="253"/>
    </row>
    <row r="7946" spans="23:23" ht="20.25" customHeight="1">
      <c r="W7946" s="253"/>
    </row>
    <row r="7947" spans="23:23" ht="20.25" customHeight="1">
      <c r="W7947" s="253"/>
    </row>
    <row r="7948" spans="23:23" ht="20.25" customHeight="1">
      <c r="W7948" s="253"/>
    </row>
    <row r="7949" spans="23:23" ht="20.25" customHeight="1">
      <c r="W7949" s="253"/>
    </row>
    <row r="7950" spans="23:23" ht="20.25" customHeight="1">
      <c r="W7950" s="253"/>
    </row>
    <row r="7951" spans="23:23" ht="20.25" customHeight="1">
      <c r="W7951" s="253"/>
    </row>
    <row r="7952" spans="23:23" ht="20.25" customHeight="1">
      <c r="W7952" s="253"/>
    </row>
    <row r="7953" spans="23:23" ht="20.25" customHeight="1">
      <c r="W7953" s="253"/>
    </row>
    <row r="7954" spans="23:23" ht="20.25" customHeight="1">
      <c r="W7954" s="253"/>
    </row>
    <row r="7955" spans="23:23" ht="20.25" customHeight="1">
      <c r="W7955" s="253"/>
    </row>
    <row r="7956" spans="23:23" ht="20.25" customHeight="1">
      <c r="W7956" s="253"/>
    </row>
    <row r="7957" spans="23:23" ht="20.25" customHeight="1">
      <c r="W7957" s="253"/>
    </row>
    <row r="7958" spans="23:23" ht="20.25" customHeight="1">
      <c r="W7958" s="253"/>
    </row>
    <row r="7959" spans="23:23" ht="20.25" customHeight="1">
      <c r="W7959" s="253"/>
    </row>
    <row r="7960" spans="23:23" ht="20.25" customHeight="1">
      <c r="W7960" s="253"/>
    </row>
    <row r="7961" spans="23:23" ht="20.25" customHeight="1">
      <c r="W7961" s="253"/>
    </row>
    <row r="7962" spans="23:23" ht="20.25" customHeight="1">
      <c r="W7962" s="253"/>
    </row>
    <row r="7963" spans="23:23" ht="20.25" customHeight="1">
      <c r="W7963" s="253"/>
    </row>
    <row r="7964" spans="23:23" ht="20.25" customHeight="1">
      <c r="W7964" s="253"/>
    </row>
    <row r="7965" spans="23:23" ht="20.25" customHeight="1">
      <c r="W7965" s="253"/>
    </row>
    <row r="7966" spans="23:23" ht="20.25" customHeight="1">
      <c r="W7966" s="253"/>
    </row>
    <row r="7967" spans="23:23" ht="20.25" customHeight="1">
      <c r="W7967" s="253"/>
    </row>
    <row r="7968" spans="23:23" ht="20.25" customHeight="1">
      <c r="W7968" s="253"/>
    </row>
    <row r="7969" spans="23:23" ht="20.25" customHeight="1">
      <c r="W7969" s="253"/>
    </row>
    <row r="7970" spans="23:23" ht="20.25" customHeight="1">
      <c r="W7970" s="253"/>
    </row>
    <row r="7971" spans="23:23" ht="20.25" customHeight="1">
      <c r="W7971" s="253"/>
    </row>
    <row r="7972" spans="23:23" ht="20.25" customHeight="1">
      <c r="W7972" s="253"/>
    </row>
    <row r="7973" spans="23:23" ht="20.25" customHeight="1">
      <c r="W7973" s="253"/>
    </row>
    <row r="7974" spans="23:23" ht="20.25" customHeight="1">
      <c r="W7974" s="253"/>
    </row>
    <row r="7975" spans="23:23" ht="20.25" customHeight="1">
      <c r="W7975" s="253"/>
    </row>
    <row r="7976" spans="23:23" ht="20.25" customHeight="1">
      <c r="W7976" s="253"/>
    </row>
    <row r="7977" spans="23:23" ht="20.25" customHeight="1">
      <c r="W7977" s="253"/>
    </row>
    <row r="7978" spans="23:23" ht="20.25" customHeight="1">
      <c r="W7978" s="253"/>
    </row>
    <row r="7979" spans="23:23" ht="20.25" customHeight="1">
      <c r="W7979" s="253"/>
    </row>
    <row r="7980" spans="23:23" ht="20.25" customHeight="1">
      <c r="W7980" s="253"/>
    </row>
    <row r="7981" spans="23:23" ht="20.25" customHeight="1">
      <c r="W7981" s="253"/>
    </row>
    <row r="7982" spans="23:23" ht="20.25" customHeight="1">
      <c r="W7982" s="253"/>
    </row>
    <row r="7983" spans="23:23" ht="20.25" customHeight="1">
      <c r="W7983" s="253"/>
    </row>
    <row r="7984" spans="23:23" ht="20.25" customHeight="1">
      <c r="W7984" s="253"/>
    </row>
    <row r="7985" spans="23:23" ht="20.25" customHeight="1">
      <c r="W7985" s="253"/>
    </row>
    <row r="7986" spans="23:23" ht="20.25" customHeight="1">
      <c r="W7986" s="253"/>
    </row>
    <row r="7987" spans="23:23" ht="20.25" customHeight="1">
      <c r="W7987" s="253"/>
    </row>
    <row r="7988" spans="23:23" ht="20.25" customHeight="1">
      <c r="W7988" s="253"/>
    </row>
    <row r="7989" spans="23:23" ht="20.25" customHeight="1">
      <c r="W7989" s="253"/>
    </row>
    <row r="7990" spans="23:23" ht="20.25" customHeight="1">
      <c r="W7990" s="253"/>
    </row>
    <row r="7991" spans="23:23" ht="20.25" customHeight="1">
      <c r="W7991" s="253"/>
    </row>
    <row r="7992" spans="23:23" ht="20.25" customHeight="1">
      <c r="W7992" s="253"/>
    </row>
    <row r="7993" spans="23:23" ht="20.25" customHeight="1">
      <c r="W7993" s="253"/>
    </row>
    <row r="7994" spans="23:23" ht="20.25" customHeight="1">
      <c r="W7994" s="253"/>
    </row>
    <row r="7995" spans="23:23" ht="20.25" customHeight="1">
      <c r="W7995" s="253"/>
    </row>
    <row r="7996" spans="23:23" ht="20.25" customHeight="1">
      <c r="W7996" s="253"/>
    </row>
    <row r="7997" spans="23:23" ht="20.25" customHeight="1">
      <c r="W7997" s="253"/>
    </row>
    <row r="7998" spans="23:23" ht="20.25" customHeight="1">
      <c r="W7998" s="253"/>
    </row>
    <row r="7999" spans="23:23" ht="20.25" customHeight="1">
      <c r="W7999" s="253"/>
    </row>
    <row r="8000" spans="23:23" ht="20.25" customHeight="1">
      <c r="W8000" s="253"/>
    </row>
    <row r="8001" spans="23:23" ht="20.25" customHeight="1">
      <c r="W8001" s="253"/>
    </row>
    <row r="8002" spans="23:23" ht="20.25" customHeight="1">
      <c r="W8002" s="253"/>
    </row>
    <row r="8003" spans="23:23" ht="20.25" customHeight="1">
      <c r="W8003" s="253"/>
    </row>
    <row r="8004" spans="23:23" ht="20.25" customHeight="1">
      <c r="W8004" s="253"/>
    </row>
    <row r="8005" spans="23:23" ht="20.25" customHeight="1">
      <c r="W8005" s="253"/>
    </row>
    <row r="8006" spans="23:23" ht="20.25" customHeight="1">
      <c r="W8006" s="253"/>
    </row>
    <row r="8007" spans="23:23" ht="20.25" customHeight="1">
      <c r="W8007" s="253"/>
    </row>
    <row r="8008" spans="23:23" ht="20.25" customHeight="1">
      <c r="W8008" s="253"/>
    </row>
    <row r="8009" spans="23:23" ht="20.25" customHeight="1">
      <c r="W8009" s="253"/>
    </row>
    <row r="8010" spans="23:23" ht="20.25" customHeight="1">
      <c r="W8010" s="253"/>
    </row>
    <row r="8011" spans="23:23" ht="20.25" customHeight="1">
      <c r="W8011" s="253"/>
    </row>
    <row r="8012" spans="23:23" ht="20.25" customHeight="1">
      <c r="W8012" s="253"/>
    </row>
    <row r="8013" spans="23:23" ht="20.25" customHeight="1">
      <c r="W8013" s="253"/>
    </row>
    <row r="8014" spans="23:23" ht="20.25" customHeight="1">
      <c r="W8014" s="253"/>
    </row>
    <row r="8015" spans="23:23" ht="20.25" customHeight="1">
      <c r="W8015" s="253"/>
    </row>
    <row r="8016" spans="23:23" ht="20.25" customHeight="1">
      <c r="W8016" s="253"/>
    </row>
    <row r="8017" spans="23:23" ht="20.25" customHeight="1">
      <c r="W8017" s="253"/>
    </row>
    <row r="8018" spans="23:23" ht="20.25" customHeight="1">
      <c r="W8018" s="253"/>
    </row>
    <row r="8019" spans="23:23" ht="20.25" customHeight="1">
      <c r="W8019" s="253"/>
    </row>
    <row r="8020" spans="23:23" ht="20.25" customHeight="1">
      <c r="W8020" s="253"/>
    </row>
    <row r="8021" spans="23:23" ht="20.25" customHeight="1">
      <c r="W8021" s="253"/>
    </row>
    <row r="8022" spans="23:23" ht="20.25" customHeight="1">
      <c r="W8022" s="253"/>
    </row>
    <row r="8023" spans="23:23" ht="20.25" customHeight="1">
      <c r="W8023" s="253"/>
    </row>
    <row r="8024" spans="23:23" ht="20.25" customHeight="1">
      <c r="W8024" s="253"/>
    </row>
    <row r="8025" spans="23:23" ht="20.25" customHeight="1">
      <c r="W8025" s="253"/>
    </row>
    <row r="8026" spans="23:23" ht="20.25" customHeight="1">
      <c r="W8026" s="253"/>
    </row>
    <row r="8027" spans="23:23" ht="20.25" customHeight="1">
      <c r="W8027" s="253"/>
    </row>
    <row r="8028" spans="23:23" ht="20.25" customHeight="1">
      <c r="W8028" s="253"/>
    </row>
    <row r="8029" spans="23:23" ht="20.25" customHeight="1">
      <c r="W8029" s="253"/>
    </row>
    <row r="8030" spans="23:23" ht="20.25" customHeight="1">
      <c r="W8030" s="253"/>
    </row>
    <row r="8031" spans="23:23" ht="20.25" customHeight="1">
      <c r="W8031" s="253"/>
    </row>
    <row r="8032" spans="23:23" ht="20.25" customHeight="1">
      <c r="W8032" s="253"/>
    </row>
    <row r="8033" spans="23:23" ht="20.25" customHeight="1">
      <c r="W8033" s="253"/>
    </row>
    <row r="8034" spans="23:23" ht="20.25" customHeight="1">
      <c r="W8034" s="253"/>
    </row>
    <row r="8035" spans="23:23" ht="20.25" customHeight="1">
      <c r="W8035" s="253"/>
    </row>
    <row r="8036" spans="23:23" ht="20.25" customHeight="1">
      <c r="W8036" s="253"/>
    </row>
    <row r="8037" spans="23:23" ht="20.25" customHeight="1">
      <c r="W8037" s="253"/>
    </row>
    <row r="8038" spans="23:23" ht="20.25" customHeight="1">
      <c r="W8038" s="253"/>
    </row>
    <row r="8039" spans="23:23" ht="20.25" customHeight="1">
      <c r="W8039" s="253"/>
    </row>
    <row r="8040" spans="23:23" ht="20.25" customHeight="1">
      <c r="W8040" s="253"/>
    </row>
    <row r="8041" spans="23:23" ht="20.25" customHeight="1">
      <c r="W8041" s="253"/>
    </row>
    <row r="8042" spans="23:23" ht="20.25" customHeight="1">
      <c r="W8042" s="253"/>
    </row>
    <row r="8043" spans="23:23" ht="20.25" customHeight="1">
      <c r="W8043" s="253"/>
    </row>
    <row r="8044" spans="23:23" ht="20.25" customHeight="1">
      <c r="W8044" s="253"/>
    </row>
    <row r="8045" spans="23:23" ht="20.25" customHeight="1">
      <c r="W8045" s="253"/>
    </row>
    <row r="8046" spans="23:23" ht="20.25" customHeight="1">
      <c r="W8046" s="253"/>
    </row>
    <row r="8047" spans="23:23" ht="20.25" customHeight="1">
      <c r="W8047" s="253"/>
    </row>
    <row r="8048" spans="23:23" ht="20.25" customHeight="1">
      <c r="W8048" s="253"/>
    </row>
    <row r="8049" spans="23:23" ht="20.25" customHeight="1">
      <c r="W8049" s="253"/>
    </row>
    <row r="8050" spans="23:23" ht="20.25" customHeight="1">
      <c r="W8050" s="253"/>
    </row>
    <row r="8051" spans="23:23" ht="20.25" customHeight="1">
      <c r="W8051" s="253"/>
    </row>
    <row r="8052" spans="23:23" ht="20.25" customHeight="1">
      <c r="W8052" s="253"/>
    </row>
    <row r="8053" spans="23:23" ht="20.25" customHeight="1">
      <c r="W8053" s="253"/>
    </row>
    <row r="8054" spans="23:23" ht="20.25" customHeight="1">
      <c r="W8054" s="253"/>
    </row>
    <row r="8055" spans="23:23" ht="20.25" customHeight="1">
      <c r="W8055" s="253"/>
    </row>
    <row r="8056" spans="23:23" ht="20.25" customHeight="1">
      <c r="W8056" s="253"/>
    </row>
    <row r="8057" spans="23:23" ht="20.25" customHeight="1">
      <c r="W8057" s="253"/>
    </row>
    <row r="8058" spans="23:23" ht="20.25" customHeight="1">
      <c r="W8058" s="253"/>
    </row>
    <row r="8059" spans="23:23" ht="20.25" customHeight="1">
      <c r="W8059" s="253"/>
    </row>
    <row r="8060" spans="23:23" ht="20.25" customHeight="1">
      <c r="W8060" s="253"/>
    </row>
    <row r="8061" spans="23:23" ht="20.25" customHeight="1">
      <c r="W8061" s="253"/>
    </row>
    <row r="8062" spans="23:23" ht="20.25" customHeight="1">
      <c r="W8062" s="253"/>
    </row>
    <row r="8063" spans="23:23" ht="20.25" customHeight="1">
      <c r="W8063" s="253"/>
    </row>
    <row r="8064" spans="23:23" ht="20.25" customHeight="1">
      <c r="W8064" s="253"/>
    </row>
    <row r="8065" spans="23:23" ht="20.25" customHeight="1">
      <c r="W8065" s="253"/>
    </row>
    <row r="8066" spans="23:23" ht="20.25" customHeight="1">
      <c r="W8066" s="253"/>
    </row>
    <row r="8067" spans="23:23" ht="20.25" customHeight="1">
      <c r="W8067" s="253"/>
    </row>
    <row r="8068" spans="23:23" ht="20.25" customHeight="1">
      <c r="W8068" s="253"/>
    </row>
    <row r="8069" spans="23:23" ht="20.25" customHeight="1">
      <c r="W8069" s="253"/>
    </row>
    <row r="8070" spans="23:23" ht="20.25" customHeight="1">
      <c r="W8070" s="253"/>
    </row>
    <row r="8071" spans="23:23" ht="20.25" customHeight="1">
      <c r="W8071" s="253"/>
    </row>
    <row r="8072" spans="23:23" ht="20.25" customHeight="1">
      <c r="W8072" s="253"/>
    </row>
    <row r="8073" spans="23:23" ht="20.25" customHeight="1">
      <c r="W8073" s="253"/>
    </row>
    <row r="8074" spans="23:23" ht="20.25" customHeight="1">
      <c r="W8074" s="253"/>
    </row>
    <row r="8075" spans="23:23" ht="20.25" customHeight="1">
      <c r="W8075" s="253"/>
    </row>
    <row r="8076" spans="23:23" ht="20.25" customHeight="1">
      <c r="W8076" s="253"/>
    </row>
    <row r="8077" spans="23:23" ht="20.25" customHeight="1">
      <c r="W8077" s="253"/>
    </row>
    <row r="8078" spans="23:23" ht="20.25" customHeight="1">
      <c r="W8078" s="253"/>
    </row>
    <row r="8079" spans="23:23" ht="20.25" customHeight="1">
      <c r="W8079" s="253"/>
    </row>
    <row r="8080" spans="23:23" ht="20.25" customHeight="1">
      <c r="W8080" s="253"/>
    </row>
    <row r="8081" spans="23:23" ht="20.25" customHeight="1">
      <c r="W8081" s="253"/>
    </row>
    <row r="8082" spans="23:23" ht="20.25" customHeight="1">
      <c r="W8082" s="253"/>
    </row>
    <row r="8083" spans="23:23" ht="20.25" customHeight="1">
      <c r="W8083" s="253"/>
    </row>
    <row r="8084" spans="23:23" ht="20.25" customHeight="1">
      <c r="W8084" s="253"/>
    </row>
    <row r="8085" spans="23:23" ht="20.25" customHeight="1">
      <c r="W8085" s="253"/>
    </row>
    <row r="8086" spans="23:23" ht="20.25" customHeight="1">
      <c r="W8086" s="253"/>
    </row>
    <row r="8087" spans="23:23" ht="20.25" customHeight="1">
      <c r="W8087" s="253"/>
    </row>
    <row r="8088" spans="23:23" ht="20.25" customHeight="1">
      <c r="W8088" s="253"/>
    </row>
    <row r="8089" spans="23:23" ht="20.25" customHeight="1">
      <c r="W8089" s="253"/>
    </row>
    <row r="8090" spans="23:23" ht="20.25" customHeight="1">
      <c r="W8090" s="253"/>
    </row>
    <row r="8091" spans="23:23" ht="20.25" customHeight="1">
      <c r="W8091" s="253"/>
    </row>
    <row r="8092" spans="23:23" ht="20.25" customHeight="1">
      <c r="W8092" s="253"/>
    </row>
    <row r="8093" spans="23:23" ht="20.25" customHeight="1">
      <c r="W8093" s="253"/>
    </row>
    <row r="8094" spans="23:23" ht="20.25" customHeight="1">
      <c r="W8094" s="253"/>
    </row>
    <row r="8095" spans="23:23" ht="20.25" customHeight="1">
      <c r="W8095" s="253"/>
    </row>
    <row r="8096" spans="23:23" ht="20.25" customHeight="1">
      <c r="W8096" s="253"/>
    </row>
    <row r="8097" spans="23:23" ht="20.25" customHeight="1">
      <c r="W8097" s="253"/>
    </row>
    <row r="8098" spans="23:23" ht="20.25" customHeight="1">
      <c r="W8098" s="253"/>
    </row>
    <row r="8099" spans="23:23" ht="20.25" customHeight="1">
      <c r="W8099" s="253"/>
    </row>
    <row r="8100" spans="23:23" ht="20.25" customHeight="1">
      <c r="W8100" s="253"/>
    </row>
    <row r="8101" spans="23:23" ht="20.25" customHeight="1">
      <c r="W8101" s="253"/>
    </row>
    <row r="8102" spans="23:23" ht="20.25" customHeight="1">
      <c r="W8102" s="253"/>
    </row>
    <row r="8103" spans="23:23" ht="20.25" customHeight="1">
      <c r="W8103" s="253"/>
    </row>
    <row r="8104" spans="23:23" ht="20.25" customHeight="1">
      <c r="W8104" s="253"/>
    </row>
    <row r="8105" spans="23:23" ht="20.25" customHeight="1">
      <c r="W8105" s="253"/>
    </row>
    <row r="8106" spans="23:23" ht="20.25" customHeight="1">
      <c r="W8106" s="253"/>
    </row>
    <row r="8107" spans="23:23" ht="20.25" customHeight="1">
      <c r="W8107" s="253"/>
    </row>
    <row r="8108" spans="23:23" ht="20.25" customHeight="1">
      <c r="W8108" s="253"/>
    </row>
    <row r="8109" spans="23:23" ht="20.25" customHeight="1">
      <c r="W8109" s="253"/>
    </row>
    <row r="8110" spans="23:23" ht="20.25" customHeight="1">
      <c r="W8110" s="253"/>
    </row>
    <row r="8111" spans="23:23" ht="20.25" customHeight="1">
      <c r="W8111" s="253"/>
    </row>
    <row r="8112" spans="23:23" ht="20.25" customHeight="1">
      <c r="W8112" s="253"/>
    </row>
    <row r="8113" spans="23:23" ht="20.25" customHeight="1">
      <c r="W8113" s="253"/>
    </row>
    <row r="8114" spans="23:23" ht="20.25" customHeight="1">
      <c r="W8114" s="253"/>
    </row>
    <row r="8115" spans="23:23" ht="20.25" customHeight="1">
      <c r="W8115" s="253"/>
    </row>
    <row r="8116" spans="23:23" ht="20.25" customHeight="1">
      <c r="W8116" s="253"/>
    </row>
    <row r="8117" spans="23:23" ht="20.25" customHeight="1">
      <c r="W8117" s="253"/>
    </row>
    <row r="8118" spans="23:23" ht="20.25" customHeight="1">
      <c r="W8118" s="253"/>
    </row>
    <row r="8119" spans="23:23" ht="20.25" customHeight="1">
      <c r="W8119" s="253"/>
    </row>
    <row r="8120" spans="23:23" ht="20.25" customHeight="1">
      <c r="W8120" s="253"/>
    </row>
    <row r="8121" spans="23:23" ht="20.25" customHeight="1">
      <c r="W8121" s="253"/>
    </row>
    <row r="8122" spans="23:23" ht="20.25" customHeight="1">
      <c r="W8122" s="253"/>
    </row>
    <row r="8123" spans="23:23" ht="20.25" customHeight="1">
      <c r="W8123" s="253"/>
    </row>
    <row r="8124" spans="23:23" ht="20.25" customHeight="1">
      <c r="W8124" s="253"/>
    </row>
    <row r="8125" spans="23:23" ht="20.25" customHeight="1">
      <c r="W8125" s="253"/>
    </row>
    <row r="8126" spans="23:23" ht="20.25" customHeight="1">
      <c r="W8126" s="253"/>
    </row>
    <row r="8127" spans="23:23" ht="20.25" customHeight="1">
      <c r="W8127" s="253"/>
    </row>
    <row r="8128" spans="23:23" ht="20.25" customHeight="1">
      <c r="W8128" s="253"/>
    </row>
    <row r="8129" spans="23:23" ht="20.25" customHeight="1">
      <c r="W8129" s="253"/>
    </row>
    <row r="8130" spans="23:23" ht="20.25" customHeight="1">
      <c r="W8130" s="253"/>
    </row>
    <row r="8131" spans="23:23" ht="20.25" customHeight="1">
      <c r="W8131" s="253"/>
    </row>
    <row r="8132" spans="23:23" ht="20.25" customHeight="1">
      <c r="W8132" s="253"/>
    </row>
    <row r="8133" spans="23:23" ht="20.25" customHeight="1">
      <c r="W8133" s="253"/>
    </row>
    <row r="8134" spans="23:23" ht="20.25" customHeight="1">
      <c r="W8134" s="253"/>
    </row>
    <row r="8135" spans="23:23" ht="20.25" customHeight="1">
      <c r="W8135" s="253"/>
    </row>
    <row r="8136" spans="23:23" ht="20.25" customHeight="1">
      <c r="W8136" s="253"/>
    </row>
    <row r="8137" spans="23:23" ht="20.25" customHeight="1">
      <c r="W8137" s="253"/>
    </row>
    <row r="8138" spans="23:23" ht="20.25" customHeight="1">
      <c r="W8138" s="253"/>
    </row>
    <row r="8139" spans="23:23" ht="20.25" customHeight="1">
      <c r="W8139" s="253"/>
    </row>
    <row r="8140" spans="23:23" ht="20.25" customHeight="1">
      <c r="W8140" s="253"/>
    </row>
    <row r="8141" spans="23:23" ht="20.25" customHeight="1">
      <c r="W8141" s="253"/>
    </row>
    <row r="8142" spans="23:23" ht="20.25" customHeight="1">
      <c r="W8142" s="253"/>
    </row>
    <row r="8143" spans="23:23" ht="20.25" customHeight="1">
      <c r="W8143" s="253"/>
    </row>
    <row r="8144" spans="23:23" ht="20.25" customHeight="1">
      <c r="W8144" s="253"/>
    </row>
    <row r="8145" spans="23:23" ht="20.25" customHeight="1">
      <c r="W8145" s="253"/>
    </row>
    <row r="8146" spans="23:23" ht="20.25" customHeight="1">
      <c r="W8146" s="253"/>
    </row>
    <row r="8147" spans="23:23" ht="20.25" customHeight="1">
      <c r="W8147" s="253"/>
    </row>
    <row r="8148" spans="23:23" ht="20.25" customHeight="1">
      <c r="W8148" s="253"/>
    </row>
    <row r="8149" spans="23:23" ht="20.25" customHeight="1">
      <c r="W8149" s="253"/>
    </row>
    <row r="8150" spans="23:23" ht="20.25" customHeight="1">
      <c r="W8150" s="253"/>
    </row>
    <row r="8151" spans="23:23" ht="20.25" customHeight="1">
      <c r="W8151" s="253"/>
    </row>
    <row r="8152" spans="23:23" ht="20.25" customHeight="1">
      <c r="W8152" s="253"/>
    </row>
    <row r="8153" spans="23:23" ht="20.25" customHeight="1">
      <c r="W8153" s="253"/>
    </row>
    <row r="8154" spans="23:23" ht="20.25" customHeight="1">
      <c r="W8154" s="253"/>
    </row>
    <row r="8155" spans="23:23" ht="20.25" customHeight="1">
      <c r="W8155" s="253"/>
    </row>
    <row r="8156" spans="23:23" ht="20.25" customHeight="1">
      <c r="W8156" s="253"/>
    </row>
    <row r="8157" spans="23:23" ht="20.25" customHeight="1">
      <c r="W8157" s="253"/>
    </row>
    <row r="8158" spans="23:23" ht="20.25" customHeight="1">
      <c r="W8158" s="253"/>
    </row>
    <row r="8159" spans="23:23" ht="20.25" customHeight="1">
      <c r="W8159" s="253"/>
    </row>
    <row r="8160" spans="23:23" ht="20.25" customHeight="1">
      <c r="W8160" s="253"/>
    </row>
    <row r="8161" spans="23:23" ht="20.25" customHeight="1">
      <c r="W8161" s="253"/>
    </row>
    <row r="8162" spans="23:23" ht="20.25" customHeight="1">
      <c r="W8162" s="253"/>
    </row>
    <row r="8163" spans="23:23" ht="20.25" customHeight="1">
      <c r="W8163" s="253"/>
    </row>
    <row r="8164" spans="23:23" ht="20.25" customHeight="1">
      <c r="W8164" s="253"/>
    </row>
    <row r="8165" spans="23:23" ht="20.25" customHeight="1">
      <c r="W8165" s="253"/>
    </row>
    <row r="8166" spans="23:23" ht="20.25" customHeight="1">
      <c r="W8166" s="253"/>
    </row>
    <row r="8167" spans="23:23" ht="20.25" customHeight="1">
      <c r="W8167" s="253"/>
    </row>
    <row r="8168" spans="23:23" ht="20.25" customHeight="1">
      <c r="W8168" s="253"/>
    </row>
    <row r="8169" spans="23:23" ht="20.25" customHeight="1">
      <c r="W8169" s="253"/>
    </row>
    <row r="8170" spans="23:23" ht="20.25" customHeight="1">
      <c r="W8170" s="253"/>
    </row>
    <row r="8171" spans="23:23" ht="20.25" customHeight="1">
      <c r="W8171" s="253"/>
    </row>
    <row r="8172" spans="23:23" ht="20.25" customHeight="1">
      <c r="W8172" s="253"/>
    </row>
    <row r="8173" spans="23:23" ht="20.25" customHeight="1">
      <c r="W8173" s="253"/>
    </row>
    <row r="8174" spans="23:23" ht="20.25" customHeight="1">
      <c r="W8174" s="253"/>
    </row>
    <row r="8175" spans="23:23" ht="20.25" customHeight="1">
      <c r="W8175" s="253"/>
    </row>
    <row r="8176" spans="23:23" ht="20.25" customHeight="1">
      <c r="W8176" s="253"/>
    </row>
    <row r="8177" spans="23:23" ht="20.25" customHeight="1">
      <c r="W8177" s="253"/>
    </row>
    <row r="8178" spans="23:23" ht="20.25" customHeight="1">
      <c r="W8178" s="253"/>
    </row>
    <row r="8179" spans="23:23" ht="20.25" customHeight="1">
      <c r="W8179" s="253"/>
    </row>
    <row r="8180" spans="23:23" ht="20.25" customHeight="1">
      <c r="W8180" s="253"/>
    </row>
    <row r="8181" spans="23:23" ht="20.25" customHeight="1">
      <c r="W8181" s="253"/>
    </row>
    <row r="8182" spans="23:23" ht="20.25" customHeight="1">
      <c r="W8182" s="253"/>
    </row>
    <row r="8183" spans="23:23" ht="20.25" customHeight="1">
      <c r="W8183" s="253"/>
    </row>
    <row r="8184" spans="23:23" ht="20.25" customHeight="1">
      <c r="W8184" s="253"/>
    </row>
    <row r="8185" spans="23:23" ht="20.25" customHeight="1">
      <c r="W8185" s="253"/>
    </row>
    <row r="8186" spans="23:23" ht="20.25" customHeight="1">
      <c r="W8186" s="253"/>
    </row>
    <row r="8187" spans="23:23" ht="20.25" customHeight="1">
      <c r="W8187" s="253"/>
    </row>
    <row r="8188" spans="23:23" ht="20.25" customHeight="1">
      <c r="W8188" s="253"/>
    </row>
    <row r="8189" spans="23:23" ht="20.25" customHeight="1">
      <c r="W8189" s="253"/>
    </row>
    <row r="8190" spans="23:23" ht="20.25" customHeight="1">
      <c r="W8190" s="253"/>
    </row>
    <row r="8191" spans="23:23" ht="20.25" customHeight="1">
      <c r="W8191" s="253"/>
    </row>
    <row r="8192" spans="23:23" ht="20.25" customHeight="1">
      <c r="W8192" s="253"/>
    </row>
    <row r="8193" spans="23:23" ht="20.25" customHeight="1">
      <c r="W8193" s="253"/>
    </row>
    <row r="8194" spans="23:23" ht="20.25" customHeight="1">
      <c r="W8194" s="253"/>
    </row>
    <row r="8195" spans="23:23" ht="20.25" customHeight="1">
      <c r="W8195" s="253"/>
    </row>
    <row r="8196" spans="23:23" ht="20.25" customHeight="1">
      <c r="W8196" s="253"/>
    </row>
    <row r="8197" spans="23:23" ht="20.25" customHeight="1">
      <c r="W8197" s="253"/>
    </row>
    <row r="8198" spans="23:23" ht="20.25" customHeight="1">
      <c r="W8198" s="253"/>
    </row>
    <row r="8199" spans="23:23" ht="20.25" customHeight="1">
      <c r="W8199" s="253"/>
    </row>
    <row r="8200" spans="23:23" ht="20.25" customHeight="1">
      <c r="W8200" s="253"/>
    </row>
    <row r="8201" spans="23:23" ht="20.25" customHeight="1">
      <c r="W8201" s="253"/>
    </row>
    <row r="8202" spans="23:23" ht="20.25" customHeight="1">
      <c r="W8202" s="253"/>
    </row>
    <row r="8203" spans="23:23" ht="20.25" customHeight="1">
      <c r="W8203" s="253"/>
    </row>
    <row r="8204" spans="23:23" ht="20.25" customHeight="1">
      <c r="W8204" s="253"/>
    </row>
    <row r="8205" spans="23:23" ht="20.25" customHeight="1">
      <c r="W8205" s="253"/>
    </row>
    <row r="8206" spans="23:23" ht="20.25" customHeight="1">
      <c r="W8206" s="253"/>
    </row>
    <row r="8207" spans="23:23" ht="20.25" customHeight="1">
      <c r="W8207" s="253"/>
    </row>
    <row r="8208" spans="23:23" ht="20.25" customHeight="1">
      <c r="W8208" s="253"/>
    </row>
    <row r="8209" spans="23:23" ht="20.25" customHeight="1">
      <c r="W8209" s="253"/>
    </row>
    <row r="8210" spans="23:23" ht="20.25" customHeight="1">
      <c r="W8210" s="253"/>
    </row>
    <row r="8211" spans="23:23" ht="20.25" customHeight="1">
      <c r="W8211" s="253"/>
    </row>
    <row r="8212" spans="23:23" ht="20.25" customHeight="1">
      <c r="W8212" s="253"/>
    </row>
    <row r="8213" spans="23:23" ht="20.25" customHeight="1">
      <c r="W8213" s="253"/>
    </row>
    <row r="8214" spans="23:23" ht="20.25" customHeight="1">
      <c r="W8214" s="253"/>
    </row>
    <row r="8215" spans="23:23" ht="20.25" customHeight="1">
      <c r="W8215" s="253"/>
    </row>
    <row r="8216" spans="23:23" ht="20.25" customHeight="1">
      <c r="W8216" s="253"/>
    </row>
    <row r="8217" spans="23:23" ht="20.25" customHeight="1">
      <c r="W8217" s="253"/>
    </row>
    <row r="8218" spans="23:23" ht="20.25" customHeight="1">
      <c r="W8218" s="253"/>
    </row>
    <row r="8219" spans="23:23" ht="20.25" customHeight="1">
      <c r="W8219" s="253"/>
    </row>
    <row r="8220" spans="23:23" ht="20.25" customHeight="1">
      <c r="W8220" s="253"/>
    </row>
    <row r="8221" spans="23:23" ht="20.25" customHeight="1">
      <c r="W8221" s="253"/>
    </row>
    <row r="8222" spans="23:23" ht="20.25" customHeight="1">
      <c r="W8222" s="253"/>
    </row>
    <row r="8223" spans="23:23" ht="20.25" customHeight="1">
      <c r="W8223" s="253"/>
    </row>
    <row r="8224" spans="23:23" ht="20.25" customHeight="1">
      <c r="W8224" s="253"/>
    </row>
    <row r="8225" spans="23:23" ht="20.25" customHeight="1">
      <c r="W8225" s="253"/>
    </row>
    <row r="8226" spans="23:23" ht="20.25" customHeight="1">
      <c r="W8226" s="253"/>
    </row>
    <row r="8227" spans="23:23" ht="20.25" customHeight="1">
      <c r="W8227" s="253"/>
    </row>
    <row r="8228" spans="23:23" ht="20.25" customHeight="1">
      <c r="W8228" s="253"/>
    </row>
    <row r="8229" spans="23:23" ht="20.25" customHeight="1">
      <c r="W8229" s="253"/>
    </row>
    <row r="8230" spans="23:23" ht="20.25" customHeight="1">
      <c r="W8230" s="253"/>
    </row>
    <row r="8231" spans="23:23" ht="20.25" customHeight="1">
      <c r="W8231" s="253"/>
    </row>
    <row r="8232" spans="23:23" ht="20.25" customHeight="1">
      <c r="W8232" s="253"/>
    </row>
    <row r="8233" spans="23:23" ht="20.25" customHeight="1">
      <c r="W8233" s="253"/>
    </row>
    <row r="8234" spans="23:23" ht="20.25" customHeight="1">
      <c r="W8234" s="253"/>
    </row>
    <row r="8235" spans="23:23" ht="20.25" customHeight="1">
      <c r="W8235" s="253"/>
    </row>
    <row r="8236" spans="23:23" ht="20.25" customHeight="1">
      <c r="W8236" s="253"/>
    </row>
    <row r="8237" spans="23:23" ht="20.25" customHeight="1">
      <c r="W8237" s="253"/>
    </row>
    <row r="8238" spans="23:23" ht="20.25" customHeight="1">
      <c r="W8238" s="253"/>
    </row>
    <row r="8239" spans="23:23" ht="20.25" customHeight="1">
      <c r="W8239" s="253"/>
    </row>
    <row r="8240" spans="23:23" ht="20.25" customHeight="1">
      <c r="W8240" s="253"/>
    </row>
    <row r="8241" spans="23:23" ht="20.25" customHeight="1">
      <c r="W8241" s="253"/>
    </row>
    <row r="8242" spans="23:23" ht="20.25" customHeight="1">
      <c r="W8242" s="253"/>
    </row>
    <row r="8243" spans="23:23" ht="20.25" customHeight="1">
      <c r="W8243" s="253"/>
    </row>
    <row r="8244" spans="23:23" ht="20.25" customHeight="1">
      <c r="W8244" s="253"/>
    </row>
    <row r="8245" spans="23:23" ht="20.25" customHeight="1">
      <c r="W8245" s="253"/>
    </row>
    <row r="8246" spans="23:23" ht="20.25" customHeight="1">
      <c r="W8246" s="253"/>
    </row>
    <row r="8247" spans="23:23" ht="20.25" customHeight="1">
      <c r="W8247" s="253"/>
    </row>
    <row r="8248" spans="23:23" ht="20.25" customHeight="1">
      <c r="W8248" s="253"/>
    </row>
    <row r="8249" spans="23:23" ht="20.25" customHeight="1">
      <c r="W8249" s="253"/>
    </row>
    <row r="8250" spans="23:23" ht="20.25" customHeight="1">
      <c r="W8250" s="253"/>
    </row>
    <row r="8251" spans="23:23" ht="20.25" customHeight="1">
      <c r="W8251" s="253"/>
    </row>
    <row r="8252" spans="23:23" ht="20.25" customHeight="1">
      <c r="W8252" s="253"/>
    </row>
    <row r="8253" spans="23:23" ht="20.25" customHeight="1">
      <c r="W8253" s="253"/>
    </row>
    <row r="8254" spans="23:23" ht="20.25" customHeight="1">
      <c r="W8254" s="253"/>
    </row>
    <row r="8255" spans="23:23" ht="20.25" customHeight="1">
      <c r="W8255" s="253"/>
    </row>
    <row r="8256" spans="23:23" ht="20.25" customHeight="1">
      <c r="W8256" s="253"/>
    </row>
    <row r="8257" spans="23:23" ht="20.25" customHeight="1">
      <c r="W8257" s="253"/>
    </row>
    <row r="8258" spans="23:23" ht="20.25" customHeight="1">
      <c r="W8258" s="253"/>
    </row>
    <row r="8259" spans="23:23" ht="20.25" customHeight="1">
      <c r="W8259" s="253"/>
    </row>
    <row r="8260" spans="23:23" ht="20.25" customHeight="1">
      <c r="W8260" s="253"/>
    </row>
    <row r="8261" spans="23:23" ht="20.25" customHeight="1">
      <c r="W8261" s="253"/>
    </row>
    <row r="8262" spans="23:23" ht="20.25" customHeight="1">
      <c r="W8262" s="253"/>
    </row>
    <row r="8263" spans="23:23" ht="20.25" customHeight="1">
      <c r="W8263" s="253"/>
    </row>
    <row r="8264" spans="23:23" ht="20.25" customHeight="1">
      <c r="W8264" s="253"/>
    </row>
    <row r="8265" spans="23:23" ht="20.25" customHeight="1">
      <c r="W8265" s="253"/>
    </row>
    <row r="8266" spans="23:23" ht="20.25" customHeight="1">
      <c r="W8266" s="253"/>
    </row>
    <row r="8267" spans="23:23" ht="20.25" customHeight="1">
      <c r="W8267" s="253"/>
    </row>
    <row r="8268" spans="23:23" ht="20.25" customHeight="1">
      <c r="W8268" s="253"/>
    </row>
    <row r="8269" spans="23:23" ht="20.25" customHeight="1">
      <c r="W8269" s="253"/>
    </row>
    <row r="8270" spans="23:23" ht="20.25" customHeight="1">
      <c r="W8270" s="253"/>
    </row>
    <row r="8271" spans="23:23" ht="20.25" customHeight="1">
      <c r="W8271" s="253"/>
    </row>
    <row r="8272" spans="23:23" ht="20.25" customHeight="1">
      <c r="W8272" s="253"/>
    </row>
    <row r="8273" spans="23:23" ht="20.25" customHeight="1">
      <c r="W8273" s="253"/>
    </row>
    <row r="8274" spans="23:23" ht="20.25" customHeight="1">
      <c r="W8274" s="253"/>
    </row>
    <row r="8275" spans="23:23" ht="20.25" customHeight="1">
      <c r="W8275" s="253"/>
    </row>
    <row r="8276" spans="23:23" ht="20.25" customHeight="1">
      <c r="W8276" s="253"/>
    </row>
    <row r="8277" spans="23:23" ht="20.25" customHeight="1">
      <c r="W8277" s="253"/>
    </row>
    <row r="8278" spans="23:23" ht="20.25" customHeight="1">
      <c r="W8278" s="253"/>
    </row>
    <row r="8279" spans="23:23" ht="20.25" customHeight="1">
      <c r="W8279" s="253"/>
    </row>
    <row r="8280" spans="23:23" ht="20.25" customHeight="1">
      <c r="W8280" s="253"/>
    </row>
    <row r="8281" spans="23:23" ht="20.25" customHeight="1">
      <c r="W8281" s="253"/>
    </row>
    <row r="8282" spans="23:23" ht="20.25" customHeight="1">
      <c r="W8282" s="253"/>
    </row>
    <row r="8283" spans="23:23" ht="20.25" customHeight="1">
      <c r="W8283" s="253"/>
    </row>
    <row r="8284" spans="23:23" ht="20.25" customHeight="1">
      <c r="W8284" s="253"/>
    </row>
    <row r="8285" spans="23:23" ht="20.25" customHeight="1">
      <c r="W8285" s="253"/>
    </row>
    <row r="8286" spans="23:23" ht="20.25" customHeight="1">
      <c r="W8286" s="253"/>
    </row>
    <row r="8287" spans="23:23" ht="20.25" customHeight="1">
      <c r="W8287" s="253"/>
    </row>
    <row r="8288" spans="23:23" ht="20.25" customHeight="1">
      <c r="W8288" s="253"/>
    </row>
    <row r="8289" spans="23:23" ht="20.25" customHeight="1">
      <c r="W8289" s="253"/>
    </row>
    <row r="8290" spans="23:23" ht="20.25" customHeight="1">
      <c r="W8290" s="253"/>
    </row>
    <row r="8291" spans="23:23" ht="20.25" customHeight="1">
      <c r="W8291" s="253"/>
    </row>
    <row r="8292" spans="23:23" ht="20.25" customHeight="1">
      <c r="W8292" s="253"/>
    </row>
    <row r="8293" spans="23:23" ht="20.25" customHeight="1">
      <c r="W8293" s="253"/>
    </row>
    <row r="8294" spans="23:23" ht="20.25" customHeight="1">
      <c r="W8294" s="253"/>
    </row>
    <row r="8295" spans="23:23" ht="20.25" customHeight="1">
      <c r="W8295" s="253"/>
    </row>
    <row r="8296" spans="23:23" ht="20.25" customHeight="1">
      <c r="W8296" s="253"/>
    </row>
    <row r="8297" spans="23:23" ht="20.25" customHeight="1">
      <c r="W8297" s="253"/>
    </row>
    <row r="8298" spans="23:23" ht="20.25" customHeight="1">
      <c r="W8298" s="253"/>
    </row>
    <row r="8299" spans="23:23" ht="20.25" customHeight="1">
      <c r="W8299" s="253"/>
    </row>
    <row r="8300" spans="23:23" ht="20.25" customHeight="1">
      <c r="W8300" s="253"/>
    </row>
    <row r="8301" spans="23:23" ht="20.25" customHeight="1">
      <c r="W8301" s="253"/>
    </row>
    <row r="8302" spans="23:23" ht="20.25" customHeight="1">
      <c r="W8302" s="253"/>
    </row>
    <row r="8303" spans="23:23" ht="20.25" customHeight="1">
      <c r="W8303" s="253"/>
    </row>
    <row r="8304" spans="23:23" ht="20.25" customHeight="1">
      <c r="W8304" s="253"/>
    </row>
    <row r="8305" spans="23:23" ht="20.25" customHeight="1">
      <c r="W8305" s="253"/>
    </row>
    <row r="8306" spans="23:23" ht="20.25" customHeight="1">
      <c r="W8306" s="253"/>
    </row>
    <row r="8307" spans="23:23" ht="20.25" customHeight="1">
      <c r="W8307" s="253"/>
    </row>
    <row r="8308" spans="23:23" ht="20.25" customHeight="1">
      <c r="W8308" s="253"/>
    </row>
    <row r="8309" spans="23:23" ht="20.25" customHeight="1">
      <c r="W8309" s="253"/>
    </row>
    <row r="8310" spans="23:23" ht="20.25" customHeight="1">
      <c r="W8310" s="253"/>
    </row>
    <row r="8311" spans="23:23" ht="20.25" customHeight="1">
      <c r="W8311" s="253"/>
    </row>
    <row r="8312" spans="23:23" ht="20.25" customHeight="1">
      <c r="W8312" s="253"/>
    </row>
    <row r="8313" spans="23:23" ht="20.25" customHeight="1">
      <c r="W8313" s="253"/>
    </row>
    <row r="8314" spans="23:23" ht="20.25" customHeight="1">
      <c r="W8314" s="253"/>
    </row>
    <row r="8315" spans="23:23" ht="20.25" customHeight="1">
      <c r="W8315" s="253"/>
    </row>
    <row r="8316" spans="23:23" ht="20.25" customHeight="1">
      <c r="W8316" s="253"/>
    </row>
    <row r="8317" spans="23:23" ht="20.25" customHeight="1">
      <c r="W8317" s="253"/>
    </row>
    <row r="8318" spans="23:23" ht="20.25" customHeight="1">
      <c r="W8318" s="253"/>
    </row>
    <row r="8319" spans="23:23" ht="20.25" customHeight="1">
      <c r="W8319" s="253"/>
    </row>
    <row r="8320" spans="23:23" ht="20.25" customHeight="1">
      <c r="W8320" s="253"/>
    </row>
    <row r="8321" spans="23:23" ht="20.25" customHeight="1">
      <c r="W8321" s="253"/>
    </row>
    <row r="8322" spans="23:23" ht="20.25" customHeight="1">
      <c r="W8322" s="253"/>
    </row>
    <row r="8323" spans="23:23" ht="20.25" customHeight="1">
      <c r="W8323" s="253"/>
    </row>
    <row r="8324" spans="23:23" ht="20.25" customHeight="1">
      <c r="W8324" s="253"/>
    </row>
    <row r="8325" spans="23:23" ht="20.25" customHeight="1">
      <c r="W8325" s="253"/>
    </row>
    <row r="8326" spans="23:23" ht="20.25" customHeight="1">
      <c r="W8326" s="253"/>
    </row>
    <row r="8327" spans="23:23" ht="20.25" customHeight="1">
      <c r="W8327" s="253"/>
    </row>
    <row r="8328" spans="23:23" ht="20.25" customHeight="1">
      <c r="W8328" s="253"/>
    </row>
    <row r="8329" spans="23:23" ht="20.25" customHeight="1">
      <c r="W8329" s="253"/>
    </row>
    <row r="8330" spans="23:23" ht="20.25" customHeight="1">
      <c r="W8330" s="253"/>
    </row>
    <row r="8331" spans="23:23" ht="20.25" customHeight="1">
      <c r="W8331" s="253"/>
    </row>
    <row r="8332" spans="23:23" ht="20.25" customHeight="1">
      <c r="W8332" s="253"/>
    </row>
    <row r="8333" spans="23:23" ht="20.25" customHeight="1">
      <c r="W8333" s="253"/>
    </row>
    <row r="8334" spans="23:23" ht="20.25" customHeight="1">
      <c r="W8334" s="253"/>
    </row>
    <row r="8335" spans="23:23" ht="20.25" customHeight="1">
      <c r="W8335" s="253"/>
    </row>
    <row r="8336" spans="23:23" ht="20.25" customHeight="1">
      <c r="W8336" s="253"/>
    </row>
    <row r="8337" spans="23:23" ht="20.25" customHeight="1">
      <c r="W8337" s="253"/>
    </row>
    <row r="8338" spans="23:23" ht="20.25" customHeight="1">
      <c r="W8338" s="253"/>
    </row>
    <row r="8339" spans="23:23" ht="20.25" customHeight="1">
      <c r="W8339" s="253"/>
    </row>
    <row r="8340" spans="23:23" ht="20.25" customHeight="1">
      <c r="W8340" s="253"/>
    </row>
    <row r="8341" spans="23:23" ht="20.25" customHeight="1">
      <c r="W8341" s="253"/>
    </row>
    <row r="8342" spans="23:23" ht="20.25" customHeight="1">
      <c r="W8342" s="253"/>
    </row>
    <row r="8343" spans="23:23" ht="20.25" customHeight="1">
      <c r="W8343" s="253"/>
    </row>
    <row r="8344" spans="23:23" ht="20.25" customHeight="1">
      <c r="W8344" s="253"/>
    </row>
    <row r="8345" spans="23:23" ht="20.25" customHeight="1">
      <c r="W8345" s="253"/>
    </row>
    <row r="8346" spans="23:23" ht="20.25" customHeight="1">
      <c r="W8346" s="253"/>
    </row>
    <row r="8347" spans="23:23" ht="20.25" customHeight="1">
      <c r="W8347" s="253"/>
    </row>
    <row r="8348" spans="23:23" ht="20.25" customHeight="1">
      <c r="W8348" s="253"/>
    </row>
    <row r="8349" spans="23:23" ht="20.25" customHeight="1">
      <c r="W8349" s="253"/>
    </row>
    <row r="8350" spans="23:23" ht="20.25" customHeight="1">
      <c r="W8350" s="253"/>
    </row>
    <row r="8351" spans="23:23" ht="20.25" customHeight="1">
      <c r="W8351" s="253"/>
    </row>
    <row r="8352" spans="23:23" ht="20.25" customHeight="1">
      <c r="W8352" s="253"/>
    </row>
    <row r="8353" spans="23:23" ht="20.25" customHeight="1">
      <c r="W8353" s="253"/>
    </row>
    <row r="8354" spans="23:23" ht="20.25" customHeight="1">
      <c r="W8354" s="253"/>
    </row>
    <row r="8355" spans="23:23" ht="20.25" customHeight="1">
      <c r="W8355" s="253"/>
    </row>
    <row r="8356" spans="23:23" ht="20.25" customHeight="1">
      <c r="W8356" s="253"/>
    </row>
    <row r="8357" spans="23:23" ht="20.25" customHeight="1">
      <c r="W8357" s="253"/>
    </row>
    <row r="8358" spans="23:23" ht="20.25" customHeight="1">
      <c r="W8358" s="253"/>
    </row>
    <row r="8359" spans="23:23" ht="20.25" customHeight="1">
      <c r="W8359" s="253"/>
    </row>
    <row r="8360" spans="23:23" ht="20.25" customHeight="1">
      <c r="W8360" s="253"/>
    </row>
    <row r="8361" spans="23:23" ht="20.25" customHeight="1">
      <c r="W8361" s="253"/>
    </row>
    <row r="8362" spans="23:23" ht="20.25" customHeight="1">
      <c r="W8362" s="253"/>
    </row>
    <row r="8363" spans="23:23" ht="20.25" customHeight="1">
      <c r="W8363" s="253"/>
    </row>
    <row r="8364" spans="23:23" ht="20.25" customHeight="1">
      <c r="W8364" s="253"/>
    </row>
    <row r="8365" spans="23:23" ht="20.25" customHeight="1">
      <c r="W8365" s="253"/>
    </row>
    <row r="8366" spans="23:23" ht="20.25" customHeight="1">
      <c r="W8366" s="253"/>
    </row>
    <row r="8367" spans="23:23" ht="20.25" customHeight="1">
      <c r="W8367" s="253"/>
    </row>
    <row r="8368" spans="23:23" ht="20.25" customHeight="1">
      <c r="W8368" s="253"/>
    </row>
    <row r="8369" spans="23:23" ht="20.25" customHeight="1">
      <c r="W8369" s="253"/>
    </row>
    <row r="8370" spans="23:23" ht="20.25" customHeight="1">
      <c r="W8370" s="253"/>
    </row>
    <row r="8371" spans="23:23" ht="20.25" customHeight="1">
      <c r="W8371" s="253"/>
    </row>
    <row r="8372" spans="23:23" ht="20.25" customHeight="1">
      <c r="W8372" s="253"/>
    </row>
    <row r="8373" spans="23:23" ht="20.25" customHeight="1">
      <c r="W8373" s="253"/>
    </row>
    <row r="8374" spans="23:23" ht="20.25" customHeight="1">
      <c r="W8374" s="253"/>
    </row>
    <row r="8375" spans="23:23" ht="20.25" customHeight="1">
      <c r="W8375" s="253"/>
    </row>
    <row r="8376" spans="23:23" ht="20.25" customHeight="1">
      <c r="W8376" s="253"/>
    </row>
    <row r="8377" spans="23:23" ht="20.25" customHeight="1">
      <c r="W8377" s="253"/>
    </row>
    <row r="8378" spans="23:23" ht="20.25" customHeight="1">
      <c r="W8378" s="253"/>
    </row>
    <row r="8379" spans="23:23" ht="20.25" customHeight="1">
      <c r="W8379" s="253"/>
    </row>
    <row r="8380" spans="23:23" ht="20.25" customHeight="1">
      <c r="W8380" s="253"/>
    </row>
    <row r="8381" spans="23:23" ht="20.25" customHeight="1">
      <c r="W8381" s="253"/>
    </row>
    <row r="8382" spans="23:23" ht="20.25" customHeight="1">
      <c r="W8382" s="253"/>
    </row>
    <row r="8383" spans="23:23" ht="20.25" customHeight="1">
      <c r="W8383" s="253"/>
    </row>
    <row r="8384" spans="23:23" ht="20.25" customHeight="1">
      <c r="W8384" s="253"/>
    </row>
    <row r="8385" spans="23:23" ht="20.25" customHeight="1">
      <c r="W8385" s="253"/>
    </row>
    <row r="8386" spans="23:23" ht="20.25" customHeight="1">
      <c r="W8386" s="253"/>
    </row>
    <row r="8387" spans="23:23" ht="20.25" customHeight="1">
      <c r="W8387" s="253"/>
    </row>
    <row r="8388" spans="23:23" ht="20.25" customHeight="1">
      <c r="W8388" s="253"/>
    </row>
    <row r="8389" spans="23:23" ht="20.25" customHeight="1">
      <c r="W8389" s="253"/>
    </row>
    <row r="8390" spans="23:23" ht="20.25" customHeight="1">
      <c r="W8390" s="253"/>
    </row>
    <row r="8391" spans="23:23" ht="20.25" customHeight="1">
      <c r="W8391" s="253"/>
    </row>
    <row r="8392" spans="23:23" ht="20.25" customHeight="1">
      <c r="W8392" s="253"/>
    </row>
    <row r="8393" spans="23:23" ht="20.25" customHeight="1">
      <c r="W8393" s="253"/>
    </row>
    <row r="8394" spans="23:23" ht="20.25" customHeight="1">
      <c r="W8394" s="253"/>
    </row>
    <row r="8395" spans="23:23" ht="20.25" customHeight="1">
      <c r="W8395" s="253"/>
    </row>
    <row r="8396" spans="23:23" ht="20.25" customHeight="1">
      <c r="W8396" s="253"/>
    </row>
    <row r="8397" spans="23:23" ht="20.25" customHeight="1">
      <c r="W8397" s="253"/>
    </row>
    <row r="8398" spans="23:23" ht="20.25" customHeight="1">
      <c r="W8398" s="253"/>
    </row>
    <row r="8399" spans="23:23" ht="20.25" customHeight="1">
      <c r="W8399" s="253"/>
    </row>
    <row r="8400" spans="23:23" ht="20.25" customHeight="1">
      <c r="W8400" s="253"/>
    </row>
    <row r="8401" spans="23:23" ht="20.25" customHeight="1">
      <c r="W8401" s="253"/>
    </row>
    <row r="8402" spans="23:23" ht="20.25" customHeight="1">
      <c r="W8402" s="253"/>
    </row>
    <row r="8403" spans="23:23" ht="20.25" customHeight="1">
      <c r="W8403" s="253"/>
    </row>
    <row r="8404" spans="23:23" ht="20.25" customHeight="1">
      <c r="W8404" s="253"/>
    </row>
    <row r="8405" spans="23:23" ht="20.25" customHeight="1">
      <c r="W8405" s="253"/>
    </row>
    <row r="8406" spans="23:23" ht="20.25" customHeight="1">
      <c r="W8406" s="253"/>
    </row>
    <row r="8407" spans="23:23" ht="20.25" customHeight="1">
      <c r="W8407" s="253"/>
    </row>
    <row r="8408" spans="23:23" ht="20.25" customHeight="1">
      <c r="W8408" s="253"/>
    </row>
    <row r="8409" spans="23:23" ht="20.25" customHeight="1">
      <c r="W8409" s="253"/>
    </row>
    <row r="8410" spans="23:23" ht="20.25" customHeight="1">
      <c r="W8410" s="253"/>
    </row>
    <row r="8411" spans="23:23" ht="20.25" customHeight="1">
      <c r="W8411" s="253"/>
    </row>
    <row r="8412" spans="23:23" ht="20.25" customHeight="1">
      <c r="W8412" s="253"/>
    </row>
    <row r="8413" spans="23:23" ht="20.25" customHeight="1">
      <c r="W8413" s="253"/>
    </row>
    <row r="8414" spans="23:23" ht="20.25" customHeight="1">
      <c r="W8414" s="253"/>
    </row>
    <row r="8415" spans="23:23" ht="20.25" customHeight="1">
      <c r="W8415" s="253"/>
    </row>
    <row r="8416" spans="23:23" ht="20.25" customHeight="1">
      <c r="W8416" s="253"/>
    </row>
    <row r="8417" spans="23:23" ht="20.25" customHeight="1">
      <c r="W8417" s="253"/>
    </row>
    <row r="8418" spans="23:23" ht="20.25" customHeight="1">
      <c r="W8418" s="253"/>
    </row>
    <row r="8419" spans="23:23" ht="20.25" customHeight="1">
      <c r="W8419" s="253"/>
    </row>
    <row r="8420" spans="23:23" ht="20.25" customHeight="1">
      <c r="W8420" s="253"/>
    </row>
    <row r="8421" spans="23:23" ht="20.25" customHeight="1">
      <c r="W8421" s="253"/>
    </row>
    <row r="8422" spans="23:23" ht="20.25" customHeight="1">
      <c r="W8422" s="253"/>
    </row>
    <row r="8423" spans="23:23" ht="20.25" customHeight="1">
      <c r="W8423" s="253"/>
    </row>
    <row r="8424" spans="23:23" ht="20.25" customHeight="1">
      <c r="W8424" s="253"/>
    </row>
    <row r="8425" spans="23:23" ht="20.25" customHeight="1">
      <c r="W8425" s="253"/>
    </row>
    <row r="8426" spans="23:23" ht="20.25" customHeight="1">
      <c r="W8426" s="253"/>
    </row>
    <row r="8427" spans="23:23" ht="20.25" customHeight="1">
      <c r="W8427" s="253"/>
    </row>
    <row r="8428" spans="23:23" ht="20.25" customHeight="1">
      <c r="W8428" s="253"/>
    </row>
    <row r="8429" spans="23:23" ht="20.25" customHeight="1">
      <c r="W8429" s="253"/>
    </row>
    <row r="8430" spans="23:23" ht="20.25" customHeight="1">
      <c r="W8430" s="253"/>
    </row>
    <row r="8431" spans="23:23" ht="20.25" customHeight="1">
      <c r="W8431" s="253"/>
    </row>
    <row r="8432" spans="23:23" ht="20.25" customHeight="1">
      <c r="W8432" s="253"/>
    </row>
    <row r="8433" spans="23:23" ht="20.25" customHeight="1">
      <c r="W8433" s="253"/>
    </row>
    <row r="8434" spans="23:23" ht="20.25" customHeight="1">
      <c r="W8434" s="253"/>
    </row>
    <row r="8435" spans="23:23" ht="20.25" customHeight="1">
      <c r="W8435" s="253"/>
    </row>
    <row r="8436" spans="23:23" ht="20.25" customHeight="1">
      <c r="W8436" s="253"/>
    </row>
    <row r="8437" spans="23:23" ht="20.25" customHeight="1">
      <c r="W8437" s="253"/>
    </row>
    <row r="8438" spans="23:23" ht="20.25" customHeight="1">
      <c r="W8438" s="253"/>
    </row>
    <row r="8439" spans="23:23" ht="20.25" customHeight="1">
      <c r="W8439" s="253"/>
    </row>
    <row r="8440" spans="23:23" ht="20.25" customHeight="1">
      <c r="W8440" s="253"/>
    </row>
    <row r="8441" spans="23:23" ht="20.25" customHeight="1">
      <c r="W8441" s="253"/>
    </row>
    <row r="8442" spans="23:23" ht="20.25" customHeight="1">
      <c r="W8442" s="253"/>
    </row>
    <row r="8443" spans="23:23" ht="20.25" customHeight="1">
      <c r="W8443" s="253"/>
    </row>
    <row r="8444" spans="23:23" ht="20.25" customHeight="1">
      <c r="W8444" s="253"/>
    </row>
    <row r="8445" spans="23:23" ht="20.25" customHeight="1">
      <c r="W8445" s="253"/>
    </row>
    <row r="8446" spans="23:23" ht="20.25" customHeight="1">
      <c r="W8446" s="253"/>
    </row>
    <row r="8447" spans="23:23" ht="20.25" customHeight="1">
      <c r="W8447" s="253"/>
    </row>
    <row r="8448" spans="23:23" ht="20.25" customHeight="1">
      <c r="W8448" s="253"/>
    </row>
    <row r="8449" spans="23:23" ht="20.25" customHeight="1">
      <c r="W8449" s="253"/>
    </row>
    <row r="8450" spans="23:23" ht="20.25" customHeight="1">
      <c r="W8450" s="253"/>
    </row>
    <row r="8451" spans="23:23" ht="20.25" customHeight="1">
      <c r="W8451" s="253"/>
    </row>
    <row r="8452" spans="23:23" ht="20.25" customHeight="1">
      <c r="W8452" s="253"/>
    </row>
    <row r="8453" spans="23:23" ht="20.25" customHeight="1">
      <c r="W8453" s="253"/>
    </row>
    <row r="8454" spans="23:23" ht="20.25" customHeight="1">
      <c r="W8454" s="253"/>
    </row>
    <row r="8455" spans="23:23" ht="20.25" customHeight="1">
      <c r="W8455" s="253"/>
    </row>
    <row r="8456" spans="23:23" ht="20.25" customHeight="1">
      <c r="W8456" s="253"/>
    </row>
    <row r="8457" spans="23:23" ht="20.25" customHeight="1">
      <c r="W8457" s="253"/>
    </row>
    <row r="8458" spans="23:23" ht="20.25" customHeight="1">
      <c r="W8458" s="253"/>
    </row>
    <row r="8459" spans="23:23" ht="20.25" customHeight="1">
      <c r="W8459" s="253"/>
    </row>
    <row r="8460" spans="23:23" ht="20.25" customHeight="1">
      <c r="W8460" s="253"/>
    </row>
    <row r="8461" spans="23:23" ht="20.25" customHeight="1">
      <c r="W8461" s="253"/>
    </row>
    <row r="8462" spans="23:23" ht="20.25" customHeight="1">
      <c r="W8462" s="253"/>
    </row>
    <row r="8463" spans="23:23" ht="20.25" customHeight="1">
      <c r="W8463" s="253"/>
    </row>
    <row r="8464" spans="23:23" ht="20.25" customHeight="1">
      <c r="W8464" s="253"/>
    </row>
    <row r="8465" spans="23:23" ht="20.25" customHeight="1">
      <c r="W8465" s="253"/>
    </row>
    <row r="8466" spans="23:23" ht="20.25" customHeight="1">
      <c r="W8466" s="253"/>
    </row>
    <row r="8467" spans="23:23" ht="20.25" customHeight="1">
      <c r="W8467" s="253"/>
    </row>
    <row r="8468" spans="23:23" ht="20.25" customHeight="1">
      <c r="W8468" s="253"/>
    </row>
    <row r="8469" spans="23:23" ht="20.25" customHeight="1">
      <c r="W8469" s="253"/>
    </row>
    <row r="8470" spans="23:23" ht="20.25" customHeight="1">
      <c r="W8470" s="253"/>
    </row>
    <row r="8471" spans="23:23" ht="20.25" customHeight="1">
      <c r="W8471" s="253"/>
    </row>
    <row r="8472" spans="23:23" ht="20.25" customHeight="1">
      <c r="W8472" s="253"/>
    </row>
    <row r="8473" spans="23:23" ht="20.25" customHeight="1">
      <c r="W8473" s="253"/>
    </row>
    <row r="8474" spans="23:23" ht="20.25" customHeight="1">
      <c r="W8474" s="253"/>
    </row>
    <row r="8475" spans="23:23" ht="20.25" customHeight="1">
      <c r="W8475" s="253"/>
    </row>
    <row r="8476" spans="23:23" ht="20.25" customHeight="1">
      <c r="W8476" s="253"/>
    </row>
    <row r="8477" spans="23:23" ht="20.25" customHeight="1">
      <c r="W8477" s="253"/>
    </row>
    <row r="8478" spans="23:23" ht="20.25" customHeight="1">
      <c r="W8478" s="253"/>
    </row>
    <row r="8479" spans="23:23" ht="20.25" customHeight="1">
      <c r="W8479" s="253"/>
    </row>
    <row r="8480" spans="23:23" ht="20.25" customHeight="1">
      <c r="W8480" s="253"/>
    </row>
    <row r="8481" spans="23:23" ht="20.25" customHeight="1">
      <c r="W8481" s="253"/>
    </row>
    <row r="8482" spans="23:23" ht="20.25" customHeight="1">
      <c r="W8482" s="253"/>
    </row>
    <row r="8483" spans="23:23" ht="20.25" customHeight="1">
      <c r="W8483" s="253"/>
    </row>
    <row r="8484" spans="23:23" ht="20.25" customHeight="1">
      <c r="W8484" s="253"/>
    </row>
    <row r="8485" spans="23:23" ht="20.25" customHeight="1">
      <c r="W8485" s="253"/>
    </row>
    <row r="8486" spans="23:23" ht="20.25" customHeight="1">
      <c r="W8486" s="253"/>
    </row>
    <row r="8487" spans="23:23" ht="20.25" customHeight="1">
      <c r="W8487" s="253"/>
    </row>
    <row r="8488" spans="23:23" ht="20.25" customHeight="1">
      <c r="W8488" s="253"/>
    </row>
    <row r="8489" spans="23:23" ht="20.25" customHeight="1">
      <c r="W8489" s="253"/>
    </row>
    <row r="8490" spans="23:23" ht="20.25" customHeight="1">
      <c r="W8490" s="253"/>
    </row>
    <row r="8491" spans="23:23" ht="20.25" customHeight="1">
      <c r="W8491" s="253"/>
    </row>
    <row r="8492" spans="23:23" ht="20.25" customHeight="1">
      <c r="W8492" s="253"/>
    </row>
    <row r="8493" spans="23:23" ht="20.25" customHeight="1">
      <c r="W8493" s="253"/>
    </row>
    <row r="8494" spans="23:23" ht="20.25" customHeight="1">
      <c r="W8494" s="253"/>
    </row>
    <row r="8495" spans="23:23" ht="20.25" customHeight="1">
      <c r="W8495" s="253"/>
    </row>
    <row r="8496" spans="23:23" ht="20.25" customHeight="1">
      <c r="W8496" s="253"/>
    </row>
    <row r="8497" spans="23:23" ht="20.25" customHeight="1">
      <c r="W8497" s="253"/>
    </row>
    <row r="8498" spans="23:23" ht="20.25" customHeight="1">
      <c r="W8498" s="253"/>
    </row>
    <row r="8499" spans="23:23" ht="20.25" customHeight="1">
      <c r="W8499" s="253"/>
    </row>
    <row r="8500" spans="23:23" ht="20.25" customHeight="1">
      <c r="W8500" s="253"/>
    </row>
    <row r="8501" spans="23:23" ht="20.25" customHeight="1">
      <c r="W8501" s="253"/>
    </row>
    <row r="8502" spans="23:23" ht="20.25" customHeight="1">
      <c r="W8502" s="253"/>
    </row>
    <row r="8503" spans="23:23" ht="20.25" customHeight="1">
      <c r="W8503" s="253"/>
    </row>
    <row r="8504" spans="23:23" ht="20.25" customHeight="1">
      <c r="W8504" s="253"/>
    </row>
    <row r="8505" spans="23:23" ht="20.25" customHeight="1">
      <c r="W8505" s="253"/>
    </row>
    <row r="8506" spans="23:23" ht="20.25" customHeight="1">
      <c r="W8506" s="253"/>
    </row>
    <row r="8507" spans="23:23" ht="20.25" customHeight="1">
      <c r="W8507" s="253"/>
    </row>
    <row r="8508" spans="23:23" ht="20.25" customHeight="1">
      <c r="W8508" s="253"/>
    </row>
    <row r="8509" spans="23:23" ht="20.25" customHeight="1">
      <c r="W8509" s="253"/>
    </row>
    <row r="8510" spans="23:23" ht="20.25" customHeight="1">
      <c r="W8510" s="253"/>
    </row>
    <row r="8511" spans="23:23" ht="20.25" customHeight="1">
      <c r="W8511" s="253"/>
    </row>
    <row r="8512" spans="23:23" ht="20.25" customHeight="1">
      <c r="W8512" s="253"/>
    </row>
    <row r="8513" spans="23:23" ht="20.25" customHeight="1">
      <c r="W8513" s="253"/>
    </row>
    <row r="8514" spans="23:23" ht="20.25" customHeight="1">
      <c r="W8514" s="253"/>
    </row>
    <row r="8515" spans="23:23" ht="20.25" customHeight="1">
      <c r="W8515" s="253"/>
    </row>
    <row r="8516" spans="23:23" ht="20.25" customHeight="1">
      <c r="W8516" s="253"/>
    </row>
    <row r="8517" spans="23:23" ht="20.25" customHeight="1">
      <c r="W8517" s="253"/>
    </row>
    <row r="8518" spans="23:23" ht="20.25" customHeight="1">
      <c r="W8518" s="253"/>
    </row>
    <row r="8519" spans="23:23" ht="20.25" customHeight="1">
      <c r="W8519" s="253"/>
    </row>
    <row r="8520" spans="23:23" ht="20.25" customHeight="1">
      <c r="W8520" s="253"/>
    </row>
    <row r="8521" spans="23:23" ht="20.25" customHeight="1">
      <c r="W8521" s="253"/>
    </row>
    <row r="8522" spans="23:23" ht="20.25" customHeight="1">
      <c r="W8522" s="253"/>
    </row>
    <row r="8523" spans="23:23" ht="20.25" customHeight="1">
      <c r="W8523" s="253"/>
    </row>
    <row r="8524" spans="23:23" ht="20.25" customHeight="1">
      <c r="W8524" s="253"/>
    </row>
    <row r="8525" spans="23:23" ht="20.25" customHeight="1">
      <c r="W8525" s="253"/>
    </row>
    <row r="8526" spans="23:23" ht="20.25" customHeight="1">
      <c r="W8526" s="253"/>
    </row>
    <row r="8527" spans="23:23" ht="20.25" customHeight="1">
      <c r="W8527" s="253"/>
    </row>
    <row r="8528" spans="23:23" ht="20.25" customHeight="1">
      <c r="W8528" s="253"/>
    </row>
    <row r="8529" spans="23:23" ht="20.25" customHeight="1">
      <c r="W8529" s="253"/>
    </row>
    <row r="8530" spans="23:23" ht="20.25" customHeight="1">
      <c r="W8530" s="253"/>
    </row>
    <row r="8531" spans="23:23" ht="20.25" customHeight="1">
      <c r="W8531" s="253"/>
    </row>
    <row r="8532" spans="23:23" ht="20.25" customHeight="1">
      <c r="W8532" s="253"/>
    </row>
    <row r="8533" spans="23:23" ht="20.25" customHeight="1">
      <c r="W8533" s="253"/>
    </row>
    <row r="8534" spans="23:23" ht="20.25" customHeight="1">
      <c r="W8534" s="253"/>
    </row>
    <row r="8535" spans="23:23" ht="20.25" customHeight="1">
      <c r="W8535" s="253"/>
    </row>
    <row r="8536" spans="23:23" ht="20.25" customHeight="1">
      <c r="W8536" s="253"/>
    </row>
    <row r="8537" spans="23:23" ht="20.25" customHeight="1">
      <c r="W8537" s="253"/>
    </row>
    <row r="8538" spans="23:23" ht="20.25" customHeight="1">
      <c r="W8538" s="253"/>
    </row>
    <row r="8539" spans="23:23" ht="20.25" customHeight="1">
      <c r="W8539" s="253"/>
    </row>
    <row r="8540" spans="23:23" ht="20.25" customHeight="1">
      <c r="W8540" s="253"/>
    </row>
    <row r="8541" spans="23:23" ht="20.25" customHeight="1">
      <c r="W8541" s="253"/>
    </row>
    <row r="8542" spans="23:23" ht="20.25" customHeight="1">
      <c r="W8542" s="253"/>
    </row>
    <row r="8543" spans="23:23" ht="20.25" customHeight="1">
      <c r="W8543" s="253"/>
    </row>
    <row r="8544" spans="23:23" ht="20.25" customHeight="1">
      <c r="W8544" s="253"/>
    </row>
    <row r="8545" spans="23:23" ht="20.25" customHeight="1">
      <c r="W8545" s="253"/>
    </row>
    <row r="8546" spans="23:23" ht="20.25" customHeight="1">
      <c r="W8546" s="253"/>
    </row>
    <row r="8547" spans="23:23" ht="20.25" customHeight="1">
      <c r="W8547" s="253"/>
    </row>
    <row r="8548" spans="23:23" ht="20.25" customHeight="1">
      <c r="W8548" s="253"/>
    </row>
    <row r="8549" spans="23:23" ht="20.25" customHeight="1">
      <c r="W8549" s="253"/>
    </row>
    <row r="8550" spans="23:23" ht="20.25" customHeight="1">
      <c r="W8550" s="253"/>
    </row>
    <row r="8551" spans="23:23" ht="20.25" customHeight="1">
      <c r="W8551" s="253"/>
    </row>
    <row r="8552" spans="23:23" ht="20.25" customHeight="1">
      <c r="W8552" s="253"/>
    </row>
    <row r="8553" spans="23:23" ht="20.25" customHeight="1">
      <c r="W8553" s="253"/>
    </row>
    <row r="8554" spans="23:23" ht="20.25" customHeight="1">
      <c r="W8554" s="253"/>
    </row>
    <row r="8555" spans="23:23" ht="20.25" customHeight="1">
      <c r="W8555" s="253"/>
    </row>
    <row r="8556" spans="23:23" ht="20.25" customHeight="1">
      <c r="W8556" s="253"/>
    </row>
    <row r="8557" spans="23:23" ht="20.25" customHeight="1">
      <c r="W8557" s="253"/>
    </row>
    <row r="8558" spans="23:23" ht="20.25" customHeight="1">
      <c r="W8558" s="253"/>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1554"/>
  <sheetViews>
    <sheetView showZeros="0" view="pageBreakPreview" topLeftCell="A329" zoomScale="60" zoomScaleNormal="40" workbookViewId="0">
      <selection activeCell="C337" sqref="C337"/>
    </sheetView>
  </sheetViews>
  <sheetFormatPr defaultRowHeight="36.75" customHeight="1"/>
  <cols>
    <col min="1" max="1" width="10" style="646" customWidth="1"/>
    <col min="2" max="2" width="64.44140625" style="646" customWidth="1"/>
    <col min="3" max="3" width="18.5546875" style="876" customWidth="1"/>
    <col min="4" max="4" width="11" style="648" customWidth="1"/>
    <col min="5" max="16384" width="8.88671875" style="646"/>
  </cols>
  <sheetData>
    <row r="1" spans="1:4" ht="36.75" customHeight="1">
      <c r="A1" s="1179" t="s">
        <v>6039</v>
      </c>
      <c r="B1" s="1179"/>
      <c r="C1" s="1179"/>
      <c r="D1" s="1179"/>
    </row>
    <row r="2" spans="1:4" s="648" customFormat="1" ht="36.75" customHeight="1">
      <c r="A2" s="1180" t="s">
        <v>224</v>
      </c>
      <c r="B2" s="1180" t="s">
        <v>1777</v>
      </c>
      <c r="C2" s="1180" t="s">
        <v>4962</v>
      </c>
      <c r="D2" s="1180" t="s">
        <v>222</v>
      </c>
    </row>
    <row r="3" spans="1:4" s="648" customFormat="1" ht="36.75" customHeight="1">
      <c r="A3" s="1180"/>
      <c r="B3" s="1180"/>
      <c r="C3" s="1180"/>
      <c r="D3" s="1180"/>
    </row>
    <row r="4" spans="1:4" s="648" customFormat="1" ht="36.75" customHeight="1">
      <c r="A4" s="647"/>
      <c r="B4" s="647"/>
      <c r="C4" s="647"/>
      <c r="D4" s="647"/>
    </row>
    <row r="5" spans="1:4" ht="36.75" customHeight="1">
      <c r="A5" s="649">
        <v>1.1000000000000001</v>
      </c>
      <c r="B5" s="650" t="s">
        <v>6153</v>
      </c>
      <c r="C5" s="651"/>
      <c r="D5" s="652" t="s">
        <v>975</v>
      </c>
    </row>
    <row r="6" spans="1:4" ht="36.75" customHeight="1">
      <c r="A6" s="649"/>
      <c r="B6" s="650" t="s">
        <v>1978</v>
      </c>
      <c r="C6" s="654">
        <f>ROUND(Data!K88,2)</f>
        <v>237.08</v>
      </c>
      <c r="D6" s="652" t="s">
        <v>1197</v>
      </c>
    </row>
    <row r="7" spans="1:4" s="660" customFormat="1" ht="36.75" customHeight="1">
      <c r="A7" s="656"/>
      <c r="B7" s="657" t="s">
        <v>722</v>
      </c>
      <c r="C7" s="658">
        <f>ROUND(Data!K89,2)</f>
        <v>237.08</v>
      </c>
      <c r="D7" s="659" t="s">
        <v>1197</v>
      </c>
    </row>
    <row r="8" spans="1:4" ht="36.75" customHeight="1">
      <c r="A8" s="649">
        <v>1.2</v>
      </c>
      <c r="B8" s="650" t="s">
        <v>6154</v>
      </c>
      <c r="C8" s="661"/>
      <c r="D8" s="652"/>
    </row>
    <row r="9" spans="1:4" ht="36.75" customHeight="1">
      <c r="A9" s="649"/>
      <c r="B9" s="650" t="s">
        <v>1978</v>
      </c>
      <c r="C9" s="661">
        <f>ROUND(Data!K90,2)</f>
        <v>224.1</v>
      </c>
      <c r="D9" s="652" t="s">
        <v>1197</v>
      </c>
    </row>
    <row r="10" spans="1:4" ht="36.75" customHeight="1">
      <c r="A10" s="649"/>
      <c r="B10" s="650" t="s">
        <v>722</v>
      </c>
      <c r="C10" s="661">
        <f>ROUND(Data!K91,2)</f>
        <v>224.1</v>
      </c>
      <c r="D10" s="652" t="s">
        <v>1197</v>
      </c>
    </row>
    <row r="11" spans="1:4" s="660" customFormat="1" ht="36.75" customHeight="1">
      <c r="A11" s="656">
        <v>1.3</v>
      </c>
      <c r="B11" s="657" t="s">
        <v>6155</v>
      </c>
      <c r="C11" s="658"/>
      <c r="D11" s="659" t="s">
        <v>975</v>
      </c>
    </row>
    <row r="12" spans="1:4" s="660" customFormat="1" ht="36.75" customHeight="1">
      <c r="A12" s="656"/>
      <c r="B12" s="657" t="s">
        <v>1978</v>
      </c>
      <c r="C12" s="662">
        <f>ROUND(Data!K101,2)</f>
        <v>346.78</v>
      </c>
      <c r="D12" s="659" t="s">
        <v>1197</v>
      </c>
    </row>
    <row r="13" spans="1:4" ht="36.75" customHeight="1">
      <c r="A13" s="649"/>
      <c r="B13" s="650" t="s">
        <v>722</v>
      </c>
      <c r="C13" s="654">
        <f>ROUND(Data!K102,2)</f>
        <v>346.78</v>
      </c>
      <c r="D13" s="652" t="s">
        <v>1197</v>
      </c>
    </row>
    <row r="14" spans="1:4" ht="36.75" customHeight="1">
      <c r="A14" s="649">
        <v>1.4</v>
      </c>
      <c r="B14" s="650" t="s">
        <v>6156</v>
      </c>
      <c r="C14" s="661"/>
      <c r="D14" s="652"/>
    </row>
    <row r="15" spans="1:4" ht="36.75" customHeight="1">
      <c r="A15" s="649"/>
      <c r="B15" s="650" t="s">
        <v>1978</v>
      </c>
      <c r="C15" s="661">
        <f>ROUND(Data!K116,2)</f>
        <v>125.03</v>
      </c>
      <c r="D15" s="652" t="s">
        <v>1197</v>
      </c>
    </row>
    <row r="16" spans="1:4" ht="36.75" customHeight="1">
      <c r="A16" s="649"/>
      <c r="B16" s="650" t="s">
        <v>722</v>
      </c>
      <c r="C16" s="661">
        <f>ROUND(Data!L116,2)</f>
        <v>125.03</v>
      </c>
      <c r="D16" s="652" t="s">
        <v>1197</v>
      </c>
    </row>
    <row r="17" spans="1:4" ht="36.75" customHeight="1">
      <c r="A17" s="649">
        <v>1.5</v>
      </c>
      <c r="B17" s="650" t="s">
        <v>6157</v>
      </c>
      <c r="C17" s="654"/>
      <c r="D17" s="652" t="s">
        <v>975</v>
      </c>
    </row>
    <row r="18" spans="1:4" ht="36.75" customHeight="1">
      <c r="A18" s="649"/>
      <c r="B18" s="650" t="s">
        <v>1978</v>
      </c>
      <c r="C18" s="654">
        <f>ROUND(Data!K118,2)</f>
        <v>112.05</v>
      </c>
      <c r="D18" s="652" t="s">
        <v>1197</v>
      </c>
    </row>
    <row r="19" spans="1:4" ht="36.75" customHeight="1">
      <c r="A19" s="649"/>
      <c r="B19" s="650" t="s">
        <v>722</v>
      </c>
      <c r="C19" s="661">
        <f>ROUND(Data!K119,2)</f>
        <v>112.05</v>
      </c>
      <c r="D19" s="652" t="s">
        <v>1197</v>
      </c>
    </row>
    <row r="20" spans="1:4" ht="36.75" customHeight="1">
      <c r="A20" s="649"/>
      <c r="B20" s="650" t="s">
        <v>3785</v>
      </c>
      <c r="C20" s="661">
        <f>ROUND(Data!K120,2)</f>
        <v>112.05</v>
      </c>
      <c r="D20" s="652" t="s">
        <v>1197</v>
      </c>
    </row>
    <row r="21" spans="1:4" ht="36.75" customHeight="1">
      <c r="A21" s="649"/>
      <c r="B21" s="650" t="s">
        <v>3786</v>
      </c>
      <c r="C21" s="661">
        <f>ROUND(Data!K121,2)</f>
        <v>112.05</v>
      </c>
      <c r="D21" s="652" t="s">
        <v>1197</v>
      </c>
    </row>
    <row r="22" spans="1:4" ht="36.75" customHeight="1">
      <c r="A22" s="649">
        <v>1.6</v>
      </c>
      <c r="B22" s="650" t="s">
        <v>6158</v>
      </c>
      <c r="C22" s="654"/>
      <c r="D22" s="652"/>
    </row>
    <row r="23" spans="1:4" ht="36.75" customHeight="1">
      <c r="A23" s="649"/>
      <c r="B23" s="650" t="s">
        <v>1978</v>
      </c>
      <c r="C23" s="654">
        <f>ROUND(Data!K133,2)</f>
        <v>168.08</v>
      </c>
      <c r="D23" s="652" t="s">
        <v>1197</v>
      </c>
    </row>
    <row r="24" spans="1:4" ht="36.75" customHeight="1">
      <c r="A24" s="649"/>
      <c r="B24" s="650" t="s">
        <v>722</v>
      </c>
      <c r="C24" s="661">
        <f>ROUND(Data!K134,2)</f>
        <v>168.08</v>
      </c>
      <c r="D24" s="652" t="s">
        <v>1197</v>
      </c>
    </row>
    <row r="25" spans="1:4" ht="36.75" customHeight="1">
      <c r="A25" s="649">
        <v>1.7</v>
      </c>
      <c r="B25" s="650" t="s">
        <v>6159</v>
      </c>
      <c r="C25" s="661"/>
      <c r="D25" s="652" t="s">
        <v>975</v>
      </c>
    </row>
    <row r="26" spans="1:4" ht="36.75" customHeight="1">
      <c r="A26" s="649"/>
      <c r="B26" s="650" t="s">
        <v>1978</v>
      </c>
      <c r="C26" s="661">
        <f>ROUND(Data!K104,2)</f>
        <v>333.8</v>
      </c>
      <c r="D26" s="652" t="s">
        <v>1197</v>
      </c>
    </row>
    <row r="27" spans="1:4" ht="36.75" customHeight="1">
      <c r="A27" s="649"/>
      <c r="B27" s="650" t="s">
        <v>722</v>
      </c>
      <c r="C27" s="661">
        <f>ROUND(Data!K105,2)</f>
        <v>333.8</v>
      </c>
      <c r="D27" s="652" t="s">
        <v>1197</v>
      </c>
    </row>
    <row r="28" spans="1:4" ht="36.75" customHeight="1">
      <c r="A28" s="649">
        <v>1.8</v>
      </c>
      <c r="B28" s="650" t="s">
        <v>6160</v>
      </c>
      <c r="C28" s="654"/>
      <c r="D28" s="652" t="s">
        <v>975</v>
      </c>
    </row>
    <row r="29" spans="1:4" s="663" customFormat="1" ht="36.75" customHeight="1">
      <c r="A29" s="649"/>
      <c r="B29" s="650" t="s">
        <v>1978</v>
      </c>
      <c r="C29" s="661">
        <f>ROUND(Data!K129,2)</f>
        <v>166.9</v>
      </c>
      <c r="D29" s="652" t="s">
        <v>1197</v>
      </c>
    </row>
    <row r="30" spans="1:4" ht="36.75" customHeight="1">
      <c r="A30" s="649"/>
      <c r="B30" s="650" t="s">
        <v>722</v>
      </c>
      <c r="C30" s="661">
        <f>ROUND(Data!K130,2)</f>
        <v>166.9</v>
      </c>
      <c r="D30" s="652" t="s">
        <v>1197</v>
      </c>
    </row>
    <row r="31" spans="1:4" ht="36.75" customHeight="1">
      <c r="A31" s="649">
        <v>1.9</v>
      </c>
      <c r="B31" s="650" t="s">
        <v>475</v>
      </c>
      <c r="C31" s="661"/>
      <c r="D31" s="652"/>
    </row>
    <row r="32" spans="1:4" ht="36.75" customHeight="1">
      <c r="A32" s="649"/>
      <c r="B32" s="650" t="s">
        <v>476</v>
      </c>
      <c r="C32" s="661"/>
      <c r="D32" s="652" t="s">
        <v>826</v>
      </c>
    </row>
    <row r="33" spans="1:4" ht="36.75" customHeight="1">
      <c r="A33" s="649"/>
      <c r="B33" s="650" t="s">
        <v>477</v>
      </c>
      <c r="C33" s="661"/>
      <c r="D33" s="652" t="s">
        <v>826</v>
      </c>
    </row>
    <row r="34" spans="1:4" ht="36.75" customHeight="1">
      <c r="A34" s="649"/>
      <c r="B34" s="650" t="s">
        <v>478</v>
      </c>
      <c r="C34" s="661"/>
      <c r="D34" s="652" t="s">
        <v>826</v>
      </c>
    </row>
    <row r="35" spans="1:4" ht="36.75" customHeight="1">
      <c r="A35" s="649"/>
      <c r="B35" s="650" t="s">
        <v>2066</v>
      </c>
      <c r="C35" s="661"/>
      <c r="D35" s="652" t="s">
        <v>826</v>
      </c>
    </row>
    <row r="36" spans="1:4" ht="36.75" customHeight="1">
      <c r="A36" s="649"/>
      <c r="B36" s="650" t="s">
        <v>2067</v>
      </c>
      <c r="C36" s="661"/>
      <c r="D36" s="652" t="s">
        <v>826</v>
      </c>
    </row>
    <row r="37" spans="1:4" ht="36.75" customHeight="1">
      <c r="A37" s="649"/>
      <c r="B37" s="650" t="s">
        <v>231</v>
      </c>
      <c r="C37" s="661"/>
      <c r="D37" s="652" t="s">
        <v>826</v>
      </c>
    </row>
    <row r="38" spans="1:4" s="663" customFormat="1" ht="36.75" customHeight="1">
      <c r="A38" s="649">
        <v>2.1</v>
      </c>
      <c r="B38" s="650" t="s">
        <v>4963</v>
      </c>
      <c r="C38" s="654">
        <f>ROUND(Data!K144,2)</f>
        <v>1775.78</v>
      </c>
      <c r="D38" s="652" t="s">
        <v>1197</v>
      </c>
    </row>
    <row r="39" spans="1:4" ht="36.75" customHeight="1">
      <c r="A39" s="649">
        <v>2.2000000000000002</v>
      </c>
      <c r="B39" s="650" t="s">
        <v>232</v>
      </c>
      <c r="C39" s="661">
        <f>ROUND(Data!K161,2)</f>
        <v>1540.6</v>
      </c>
      <c r="D39" s="652" t="s">
        <v>1197</v>
      </c>
    </row>
    <row r="40" spans="1:4" s="660" customFormat="1" ht="36.75" customHeight="1">
      <c r="A40" s="656">
        <v>2.2999999999999998</v>
      </c>
      <c r="B40" s="657" t="s">
        <v>1992</v>
      </c>
      <c r="C40" s="662">
        <f>ROUND(Data!C165,2)</f>
        <v>759.93</v>
      </c>
      <c r="D40" s="659" t="s">
        <v>1197</v>
      </c>
    </row>
    <row r="41" spans="1:4" s="660" customFormat="1" ht="36.75" customHeight="1">
      <c r="A41" s="656">
        <v>2.4</v>
      </c>
      <c r="B41" s="657" t="s">
        <v>362</v>
      </c>
      <c r="C41" s="662">
        <f>ROUND(Data!C166,2)</f>
        <v>840.93</v>
      </c>
      <c r="D41" s="659" t="s">
        <v>1197</v>
      </c>
    </row>
    <row r="42" spans="1:4" ht="36.75" customHeight="1">
      <c r="A42" s="649">
        <v>2.5</v>
      </c>
      <c r="B42" s="650" t="s">
        <v>366</v>
      </c>
      <c r="C42" s="661">
        <f>ROUND(Data!K189,2)</f>
        <v>276.3</v>
      </c>
      <c r="D42" s="652" t="s">
        <v>1197</v>
      </c>
    </row>
    <row r="43" spans="1:4" ht="36.75" customHeight="1">
      <c r="A43" s="649">
        <v>2.6</v>
      </c>
      <c r="B43" s="650" t="s">
        <v>480</v>
      </c>
      <c r="C43" s="654">
        <f>ROUND(Data!K171,2)</f>
        <v>1427.69</v>
      </c>
      <c r="D43" s="652" t="s">
        <v>1197</v>
      </c>
    </row>
    <row r="44" spans="1:4" ht="36.75" customHeight="1">
      <c r="A44" s="649">
        <v>2.7</v>
      </c>
      <c r="B44" s="650" t="s">
        <v>302</v>
      </c>
      <c r="C44" s="654">
        <f>ROUND(Data!K179,2)</f>
        <v>1846.89</v>
      </c>
      <c r="D44" s="652" t="s">
        <v>1197</v>
      </c>
    </row>
    <row r="45" spans="1:4" s="663" customFormat="1" ht="36.75" customHeight="1">
      <c r="A45" s="649">
        <v>3.1</v>
      </c>
      <c r="B45" s="650" t="s">
        <v>1885</v>
      </c>
      <c r="C45" s="654">
        <f>ROUND(Data!K204,2)</f>
        <v>4941.53</v>
      </c>
      <c r="D45" s="652" t="s">
        <v>1197</v>
      </c>
    </row>
    <row r="46" spans="1:4" ht="36.75" customHeight="1">
      <c r="A46" s="649">
        <v>3.2</v>
      </c>
      <c r="B46" s="650" t="s">
        <v>1934</v>
      </c>
      <c r="C46" s="654">
        <f>ROUND(Data!K219,2)</f>
        <v>6492.99</v>
      </c>
      <c r="D46" s="652" t="s">
        <v>1197</v>
      </c>
    </row>
    <row r="47" spans="1:4" ht="36.75" customHeight="1">
      <c r="A47" s="649">
        <v>3.3</v>
      </c>
      <c r="B47" s="650" t="s">
        <v>1935</v>
      </c>
      <c r="C47" s="654">
        <f>ROUND(Data!K234,2)</f>
        <v>4119.8999999999996</v>
      </c>
      <c r="D47" s="652" t="s">
        <v>1197</v>
      </c>
    </row>
    <row r="48" spans="1:4" ht="36.75" customHeight="1">
      <c r="A48" s="649">
        <v>3.4</v>
      </c>
      <c r="B48" s="650" t="s">
        <v>595</v>
      </c>
      <c r="C48" s="661"/>
      <c r="D48" s="652" t="s">
        <v>1842</v>
      </c>
    </row>
    <row r="49" spans="1:4" ht="36.75" customHeight="1">
      <c r="A49" s="649">
        <v>3.5</v>
      </c>
      <c r="B49" s="650" t="s">
        <v>596</v>
      </c>
      <c r="C49" s="661"/>
      <c r="D49" s="652" t="s">
        <v>1842</v>
      </c>
    </row>
    <row r="50" spans="1:4" ht="36.75" customHeight="1">
      <c r="A50" s="649">
        <v>3.6</v>
      </c>
      <c r="B50" s="650" t="s">
        <v>821</v>
      </c>
      <c r="C50" s="661">
        <f>ROUND(Data!K249,2)</f>
        <v>192.46</v>
      </c>
      <c r="D50" s="652" t="s">
        <v>1842</v>
      </c>
    </row>
    <row r="51" spans="1:4" ht="36.75" customHeight="1">
      <c r="A51" s="649">
        <v>3.7</v>
      </c>
      <c r="B51" s="650" t="s">
        <v>1886</v>
      </c>
      <c r="C51" s="661">
        <f>ROUND(Data!K261,2)</f>
        <v>146.69999999999999</v>
      </c>
      <c r="D51" s="652" t="s">
        <v>1842</v>
      </c>
    </row>
    <row r="52" spans="1:4" ht="36.75" customHeight="1">
      <c r="A52" s="649">
        <v>4.0999999999999996</v>
      </c>
      <c r="B52" s="664" t="s">
        <v>6161</v>
      </c>
      <c r="C52" s="654">
        <f>ROUND(Data!K285,2)</f>
        <v>8047.92</v>
      </c>
      <c r="D52" s="652" t="s">
        <v>1197</v>
      </c>
    </row>
    <row r="53" spans="1:4" ht="36.75" customHeight="1">
      <c r="A53" s="649">
        <v>4.2</v>
      </c>
      <c r="B53" s="664" t="s">
        <v>6162</v>
      </c>
      <c r="C53" s="654">
        <f>Data!K821</f>
        <v>8698.43</v>
      </c>
      <c r="D53" s="652" t="s">
        <v>1197</v>
      </c>
    </row>
    <row r="54" spans="1:4" s="660" customFormat="1" ht="36.75" customHeight="1">
      <c r="A54" s="656">
        <v>5</v>
      </c>
      <c r="B54" s="657" t="s">
        <v>888</v>
      </c>
      <c r="C54" s="658">
        <f>ROUND(Data!K306,2)</f>
        <v>5456.15</v>
      </c>
      <c r="D54" s="659" t="s">
        <v>1197</v>
      </c>
    </row>
    <row r="55" spans="1:4" ht="36.75" customHeight="1">
      <c r="A55" s="649">
        <v>6.1</v>
      </c>
      <c r="B55" s="664" t="s">
        <v>6163</v>
      </c>
      <c r="C55" s="661">
        <f>Data!X321</f>
        <v>6864.84</v>
      </c>
      <c r="D55" s="652" t="s">
        <v>1197</v>
      </c>
    </row>
    <row r="56" spans="1:4" ht="36.75" customHeight="1">
      <c r="A56" s="649">
        <v>6.2</v>
      </c>
      <c r="B56" s="664" t="s">
        <v>6164</v>
      </c>
      <c r="C56" s="654">
        <f>ROUND(Data!AG321,2)</f>
        <v>6532.36</v>
      </c>
      <c r="D56" s="652" t="s">
        <v>1197</v>
      </c>
    </row>
    <row r="57" spans="1:4" ht="36.75" customHeight="1">
      <c r="A57" s="649">
        <v>6.3</v>
      </c>
      <c r="B57" s="664" t="s">
        <v>6165</v>
      </c>
      <c r="C57" s="661"/>
      <c r="D57" s="652" t="s">
        <v>1197</v>
      </c>
    </row>
    <row r="58" spans="1:4" ht="36.75" customHeight="1">
      <c r="A58" s="649">
        <v>6.4</v>
      </c>
      <c r="B58" s="664" t="s">
        <v>6166</v>
      </c>
      <c r="C58" s="661"/>
      <c r="D58" s="652" t="s">
        <v>1197</v>
      </c>
    </row>
    <row r="59" spans="1:4" s="660" customFormat="1" ht="36.75" customHeight="1">
      <c r="A59" s="656">
        <v>6.5</v>
      </c>
      <c r="B59" s="665" t="s">
        <v>6167</v>
      </c>
      <c r="C59" s="658">
        <f>Data!K321</f>
        <v>6581.38</v>
      </c>
      <c r="D59" s="659" t="s">
        <v>1197</v>
      </c>
    </row>
    <row r="60" spans="1:4" ht="36.75" customHeight="1">
      <c r="A60" s="649">
        <v>6.6</v>
      </c>
      <c r="B60" s="664" t="s">
        <v>6168</v>
      </c>
      <c r="C60" s="661"/>
      <c r="D60" s="652" t="s">
        <v>1197</v>
      </c>
    </row>
    <row r="61" spans="1:4" ht="36.75" customHeight="1">
      <c r="A61" s="649">
        <v>7.1</v>
      </c>
      <c r="B61" s="664" t="s">
        <v>6169</v>
      </c>
      <c r="C61" s="661"/>
      <c r="D61" s="652" t="s">
        <v>1842</v>
      </c>
    </row>
    <row r="62" spans="1:4" ht="36.75" customHeight="1">
      <c r="A62" s="649">
        <v>7.2</v>
      </c>
      <c r="B62" s="650" t="s">
        <v>6170</v>
      </c>
      <c r="C62" s="654">
        <f>ROUND(Data!K329,2)</f>
        <v>719</v>
      </c>
      <c r="D62" s="652" t="s">
        <v>1842</v>
      </c>
    </row>
    <row r="63" spans="1:4" ht="36.75" customHeight="1">
      <c r="A63" s="649">
        <v>7.3</v>
      </c>
      <c r="B63" s="664" t="s">
        <v>6171</v>
      </c>
      <c r="C63" s="661">
        <f>ROUND(Data!K497,2)</f>
        <v>315.95</v>
      </c>
      <c r="D63" s="652" t="s">
        <v>1842</v>
      </c>
    </row>
    <row r="64" spans="1:4" s="663" customFormat="1" ht="36.75" customHeight="1">
      <c r="A64" s="649">
        <v>8.1</v>
      </c>
      <c r="B64" s="664" t="s">
        <v>597</v>
      </c>
      <c r="C64" s="654"/>
      <c r="D64" s="652"/>
    </row>
    <row r="65" spans="1:4" s="663" customFormat="1" ht="36.75" customHeight="1">
      <c r="A65" s="649"/>
      <c r="B65" s="650" t="s">
        <v>1252</v>
      </c>
      <c r="C65" s="654">
        <f>ROUND(Data!K287,2)</f>
        <v>8167.77</v>
      </c>
      <c r="D65" s="652" t="s">
        <v>1197</v>
      </c>
    </row>
    <row r="66" spans="1:4" s="663" customFormat="1" ht="36.75" customHeight="1">
      <c r="A66" s="649"/>
      <c r="B66" s="650" t="s">
        <v>1386</v>
      </c>
      <c r="C66" s="654">
        <f>ROUND(Data!K288,2)</f>
        <v>8403.8700000000008</v>
      </c>
      <c r="D66" s="652" t="s">
        <v>1197</v>
      </c>
    </row>
    <row r="67" spans="1:4" s="663" customFormat="1" ht="36.75" customHeight="1">
      <c r="A67" s="649"/>
      <c r="B67" s="650" t="s">
        <v>1434</v>
      </c>
      <c r="C67" s="654">
        <f>ROUND(Data!K289,2)</f>
        <v>8639.9699999999993</v>
      </c>
      <c r="D67" s="652" t="s">
        <v>1197</v>
      </c>
    </row>
    <row r="68" spans="1:4" s="663" customFormat="1" ht="36.75" customHeight="1">
      <c r="A68" s="649"/>
      <c r="B68" s="650" t="s">
        <v>1324</v>
      </c>
      <c r="C68" s="654">
        <f>ROUND(Data!K290,2)</f>
        <v>8876.07</v>
      </c>
      <c r="D68" s="652" t="s">
        <v>1197</v>
      </c>
    </row>
    <row r="69" spans="1:4" s="663" customFormat="1" ht="36.75" customHeight="1">
      <c r="A69" s="666"/>
      <c r="B69" s="650" t="s">
        <v>1078</v>
      </c>
      <c r="C69" s="654">
        <f>ROUND(Data!K291,2)</f>
        <v>9112.17</v>
      </c>
      <c r="D69" s="652" t="s">
        <v>1197</v>
      </c>
    </row>
    <row r="70" spans="1:4" ht="36.75" customHeight="1">
      <c r="A70" s="649">
        <v>8.1999999999999993</v>
      </c>
      <c r="B70" s="664" t="s">
        <v>1079</v>
      </c>
      <c r="C70" s="661"/>
      <c r="D70" s="652"/>
    </row>
    <row r="71" spans="1:4" ht="36.75" customHeight="1">
      <c r="A71" s="650"/>
      <c r="B71" s="650" t="s">
        <v>1252</v>
      </c>
      <c r="C71" s="661">
        <f>ROUND(Data!K823,2)</f>
        <v>8818.2800000000007</v>
      </c>
      <c r="D71" s="652" t="s">
        <v>1197</v>
      </c>
    </row>
    <row r="72" spans="1:4" ht="36.75" customHeight="1">
      <c r="A72" s="650"/>
      <c r="B72" s="650" t="s">
        <v>1386</v>
      </c>
      <c r="C72" s="661">
        <f>ROUND(Data!K824,2)</f>
        <v>9054.3799999999992</v>
      </c>
      <c r="D72" s="652" t="s">
        <v>1197</v>
      </c>
    </row>
    <row r="73" spans="1:4" ht="36.75" customHeight="1">
      <c r="A73" s="650"/>
      <c r="B73" s="650" t="s">
        <v>1434</v>
      </c>
      <c r="C73" s="661">
        <f>ROUND(Data!K825,2)</f>
        <v>9290.48</v>
      </c>
      <c r="D73" s="652" t="s">
        <v>1197</v>
      </c>
    </row>
    <row r="74" spans="1:4" ht="36.75" customHeight="1">
      <c r="A74" s="650"/>
      <c r="B74" s="650" t="s">
        <v>1324</v>
      </c>
      <c r="C74" s="661">
        <f>ROUND(Data!K826,2)</f>
        <v>9526.58</v>
      </c>
      <c r="D74" s="652" t="s">
        <v>1197</v>
      </c>
    </row>
    <row r="75" spans="1:4" ht="36.75" customHeight="1">
      <c r="A75" s="649"/>
      <c r="B75" s="650" t="s">
        <v>1078</v>
      </c>
      <c r="C75" s="661">
        <f>ROUND(Data!K827,2)</f>
        <v>9762.68</v>
      </c>
      <c r="D75" s="652" t="s">
        <v>1197</v>
      </c>
    </row>
    <row r="76" spans="1:4" ht="36.75" customHeight="1">
      <c r="A76" s="649"/>
      <c r="B76" s="650" t="s">
        <v>3771</v>
      </c>
      <c r="C76" s="661">
        <f>ROUND(Data!K828,2)</f>
        <v>9998.7800000000007</v>
      </c>
      <c r="D76" s="652" t="s">
        <v>1197</v>
      </c>
    </row>
    <row r="77" spans="1:4" ht="36.75" customHeight="1">
      <c r="A77" s="649"/>
      <c r="B77" s="650" t="s">
        <v>3772</v>
      </c>
      <c r="C77" s="661">
        <f>ROUND(Data!K829,2)</f>
        <v>10234.879999999999</v>
      </c>
      <c r="D77" s="652" t="s">
        <v>1197</v>
      </c>
    </row>
    <row r="78" spans="1:4" ht="36.75" customHeight="1">
      <c r="A78" s="649"/>
      <c r="B78" s="650" t="s">
        <v>3773</v>
      </c>
      <c r="C78" s="661">
        <f>ROUND(Data!K830,2)</f>
        <v>10470.98</v>
      </c>
      <c r="D78" s="652" t="s">
        <v>1197</v>
      </c>
    </row>
    <row r="79" spans="1:4" ht="36.75" customHeight="1">
      <c r="A79" s="649"/>
      <c r="B79" s="650" t="s">
        <v>3774</v>
      </c>
      <c r="C79" s="661">
        <f>ROUND(Data!K831,2)</f>
        <v>10707.08</v>
      </c>
      <c r="D79" s="652" t="s">
        <v>1197</v>
      </c>
    </row>
    <row r="80" spans="1:4" ht="36.75" customHeight="1">
      <c r="A80" s="649"/>
      <c r="B80" s="650" t="s">
        <v>3775</v>
      </c>
      <c r="C80" s="661">
        <f>ROUND(Data!K832,2)</f>
        <v>10943.18</v>
      </c>
      <c r="D80" s="652" t="s">
        <v>1197</v>
      </c>
    </row>
    <row r="81" spans="1:4" ht="36.75" customHeight="1">
      <c r="A81" s="649"/>
      <c r="B81" s="650" t="s">
        <v>3776</v>
      </c>
      <c r="C81" s="661">
        <f>ROUND(Data!K833,2)</f>
        <v>11179.28</v>
      </c>
      <c r="D81" s="652" t="s">
        <v>1197</v>
      </c>
    </row>
    <row r="82" spans="1:4" ht="36.75" customHeight="1">
      <c r="A82" s="649"/>
      <c r="B82" s="650" t="s">
        <v>3777</v>
      </c>
      <c r="C82" s="661">
        <f>ROUND(Data!K834,2)</f>
        <v>11415.38</v>
      </c>
      <c r="D82" s="652" t="s">
        <v>1197</v>
      </c>
    </row>
    <row r="83" spans="1:4" ht="36.75" customHeight="1">
      <c r="A83" s="649"/>
      <c r="B83" s="650" t="s">
        <v>3778</v>
      </c>
      <c r="C83" s="661">
        <f>ROUND(Data!K835,2)</f>
        <v>11651.48</v>
      </c>
      <c r="D83" s="652" t="s">
        <v>1197</v>
      </c>
    </row>
    <row r="84" spans="1:4" ht="36.75" customHeight="1">
      <c r="A84" s="649">
        <v>9.1</v>
      </c>
      <c r="B84" s="650" t="s">
        <v>2237</v>
      </c>
      <c r="C84" s="661"/>
      <c r="D84" s="652"/>
    </row>
    <row r="85" spans="1:4" ht="36.75" customHeight="1">
      <c r="A85" s="649"/>
      <c r="B85" s="650" t="s">
        <v>202</v>
      </c>
      <c r="C85" s="661">
        <f>Data!X347</f>
        <v>6871.26</v>
      </c>
      <c r="D85" s="652" t="s">
        <v>1197</v>
      </c>
    </row>
    <row r="86" spans="1:4" ht="36.75" customHeight="1">
      <c r="A86" s="649"/>
      <c r="B86" s="650" t="s">
        <v>203</v>
      </c>
      <c r="C86" s="661">
        <f>Data!X348</f>
        <v>7030.46</v>
      </c>
      <c r="D86" s="652" t="s">
        <v>1197</v>
      </c>
    </row>
    <row r="87" spans="1:4" ht="36.75" customHeight="1">
      <c r="A87" s="649"/>
      <c r="B87" s="650" t="s">
        <v>204</v>
      </c>
      <c r="C87" s="661">
        <f>Data!X349</f>
        <v>7189.66</v>
      </c>
      <c r="D87" s="652" t="s">
        <v>1197</v>
      </c>
    </row>
    <row r="88" spans="1:4" ht="36.75" customHeight="1">
      <c r="A88" s="649"/>
      <c r="B88" s="650" t="s">
        <v>205</v>
      </c>
      <c r="C88" s="661">
        <f>Data!X350</f>
        <v>7348.86</v>
      </c>
      <c r="D88" s="652" t="s">
        <v>1197</v>
      </c>
    </row>
    <row r="89" spans="1:4" ht="36.75" customHeight="1">
      <c r="A89" s="649"/>
      <c r="B89" s="650" t="s">
        <v>606</v>
      </c>
      <c r="C89" s="661">
        <f>Data!X351</f>
        <v>7508.06</v>
      </c>
      <c r="D89" s="652" t="s">
        <v>1197</v>
      </c>
    </row>
    <row r="90" spans="1:4" ht="36.75" customHeight="1">
      <c r="A90" s="649">
        <v>9.1999999999999993</v>
      </c>
      <c r="B90" s="664" t="s">
        <v>6172</v>
      </c>
      <c r="C90" s="661"/>
      <c r="D90" s="652"/>
    </row>
    <row r="91" spans="1:4" ht="36.75" customHeight="1">
      <c r="A91" s="649"/>
      <c r="B91" s="650" t="s">
        <v>3789</v>
      </c>
      <c r="C91" s="661">
        <f>ROUND(Data!AG347,2)</f>
        <v>6553.28</v>
      </c>
      <c r="D91" s="652" t="s">
        <v>1197</v>
      </c>
    </row>
    <row r="92" spans="1:4" ht="36.75" customHeight="1">
      <c r="A92" s="649"/>
      <c r="B92" s="650" t="s">
        <v>203</v>
      </c>
      <c r="C92" s="661">
        <f>ROUND(Data!AG348,2)</f>
        <v>6712.48</v>
      </c>
      <c r="D92" s="652" t="s">
        <v>1197</v>
      </c>
    </row>
    <row r="93" spans="1:4" ht="36.75" customHeight="1">
      <c r="A93" s="649"/>
      <c r="B93" s="650" t="s">
        <v>204</v>
      </c>
      <c r="C93" s="661">
        <f>ROUND(Data!AG349,2)</f>
        <v>6871.68</v>
      </c>
      <c r="D93" s="652" t="s">
        <v>1197</v>
      </c>
    </row>
    <row r="94" spans="1:4" ht="36.75" customHeight="1">
      <c r="A94" s="649"/>
      <c r="B94" s="650" t="s">
        <v>205</v>
      </c>
      <c r="C94" s="661">
        <f>ROUND(Data!AG350,2)</f>
        <v>7030.88</v>
      </c>
      <c r="D94" s="652" t="s">
        <v>1197</v>
      </c>
    </row>
    <row r="95" spans="1:4" ht="36.75" customHeight="1">
      <c r="A95" s="649"/>
      <c r="B95" s="650" t="s">
        <v>606</v>
      </c>
      <c r="C95" s="661">
        <f>ROUND(Data!AG351,2)</f>
        <v>7190.08</v>
      </c>
      <c r="D95" s="652" t="s">
        <v>1197</v>
      </c>
    </row>
    <row r="96" spans="1:4" ht="36.75" customHeight="1">
      <c r="A96" s="649"/>
      <c r="B96" s="650" t="s">
        <v>3771</v>
      </c>
      <c r="C96" s="661">
        <f>ROUND(Data!AG352,2)</f>
        <v>7349.28</v>
      </c>
      <c r="D96" s="652" t="s">
        <v>1197</v>
      </c>
    </row>
    <row r="97" spans="1:4" ht="36.75" customHeight="1">
      <c r="A97" s="649"/>
      <c r="B97" s="650" t="s">
        <v>3772</v>
      </c>
      <c r="C97" s="661">
        <f>ROUND(Data!AG353,2)</f>
        <v>7508.48</v>
      </c>
      <c r="D97" s="652" t="s">
        <v>1197</v>
      </c>
    </row>
    <row r="98" spans="1:4" ht="36.75" customHeight="1">
      <c r="A98" s="649"/>
      <c r="B98" s="650" t="s">
        <v>3773</v>
      </c>
      <c r="C98" s="661">
        <f>ROUND(Data!AG354,2)</f>
        <v>7667.68</v>
      </c>
      <c r="D98" s="652" t="s">
        <v>1197</v>
      </c>
    </row>
    <row r="99" spans="1:4" ht="36.75" customHeight="1">
      <c r="A99" s="649"/>
      <c r="B99" s="650" t="s">
        <v>3774</v>
      </c>
      <c r="C99" s="661">
        <f>ROUND(Data!AG355,2)</f>
        <v>7826.88</v>
      </c>
      <c r="D99" s="652" t="s">
        <v>1197</v>
      </c>
    </row>
    <row r="100" spans="1:4" ht="36.75" customHeight="1">
      <c r="A100" s="649"/>
      <c r="B100" s="650" t="s">
        <v>3775</v>
      </c>
      <c r="C100" s="661">
        <f>ROUND(Data!AG356,2)</f>
        <v>7986.08</v>
      </c>
      <c r="D100" s="652" t="s">
        <v>1197</v>
      </c>
    </row>
    <row r="101" spans="1:4" ht="36.75" customHeight="1">
      <c r="A101" s="649"/>
      <c r="B101" s="650" t="s">
        <v>3776</v>
      </c>
      <c r="C101" s="661">
        <f>ROUND(Data!AG357,2)</f>
        <v>8145.28</v>
      </c>
      <c r="D101" s="652" t="s">
        <v>1197</v>
      </c>
    </row>
    <row r="102" spans="1:4" ht="36.75" customHeight="1">
      <c r="A102" s="649"/>
      <c r="B102" s="650" t="s">
        <v>3777</v>
      </c>
      <c r="C102" s="661">
        <f>ROUND(Data!AG358,2)</f>
        <v>8304.48</v>
      </c>
      <c r="D102" s="652" t="s">
        <v>1197</v>
      </c>
    </row>
    <row r="103" spans="1:4" ht="36.75" customHeight="1">
      <c r="A103" s="649"/>
      <c r="B103" s="650" t="s">
        <v>3778</v>
      </c>
      <c r="C103" s="661">
        <f>ROUND(Data!AG359,2)</f>
        <v>8463.68</v>
      </c>
      <c r="D103" s="652" t="s">
        <v>1197</v>
      </c>
    </row>
    <row r="104" spans="1:4" ht="36.75" customHeight="1">
      <c r="A104" s="649"/>
      <c r="B104" s="650" t="s">
        <v>3783</v>
      </c>
      <c r="C104" s="661">
        <f>ROUND(Data!AG360,2)</f>
        <v>8622.8799999999992</v>
      </c>
      <c r="D104" s="652" t="s">
        <v>1197</v>
      </c>
    </row>
    <row r="105" spans="1:4" ht="36.75" customHeight="1">
      <c r="A105" s="649">
        <v>9.3000000000000007</v>
      </c>
      <c r="B105" s="650" t="s">
        <v>1809</v>
      </c>
      <c r="C105" s="661"/>
      <c r="D105" s="652"/>
    </row>
    <row r="106" spans="1:4" ht="36.75" customHeight="1">
      <c r="A106" s="649"/>
      <c r="B106" s="650" t="s">
        <v>202</v>
      </c>
      <c r="C106" s="661"/>
      <c r="D106" s="652" t="s">
        <v>1197</v>
      </c>
    </row>
    <row r="107" spans="1:4" ht="36.75" customHeight="1">
      <c r="A107" s="649"/>
      <c r="B107" s="650" t="s">
        <v>203</v>
      </c>
      <c r="C107" s="661"/>
      <c r="D107" s="652" t="s">
        <v>1197</v>
      </c>
    </row>
    <row r="108" spans="1:4" ht="36.75" customHeight="1">
      <c r="A108" s="649"/>
      <c r="B108" s="650" t="s">
        <v>204</v>
      </c>
      <c r="C108" s="661"/>
      <c r="D108" s="652" t="s">
        <v>1197</v>
      </c>
    </row>
    <row r="109" spans="1:4" ht="36.75" customHeight="1">
      <c r="A109" s="649"/>
      <c r="B109" s="650" t="s">
        <v>205</v>
      </c>
      <c r="C109" s="661"/>
      <c r="D109" s="652" t="s">
        <v>1197</v>
      </c>
    </row>
    <row r="110" spans="1:4" ht="36.75" customHeight="1">
      <c r="A110" s="667"/>
      <c r="B110" s="650" t="s">
        <v>606</v>
      </c>
      <c r="C110" s="661"/>
      <c r="D110" s="652" t="s">
        <v>1197</v>
      </c>
    </row>
    <row r="111" spans="1:4" ht="36.75" customHeight="1">
      <c r="A111" s="649">
        <v>9.4</v>
      </c>
      <c r="B111" s="650" t="s">
        <v>6173</v>
      </c>
      <c r="C111" s="661"/>
      <c r="D111" s="652"/>
    </row>
    <row r="112" spans="1:4" ht="36.75" customHeight="1">
      <c r="A112" s="649"/>
      <c r="B112" s="650" t="s">
        <v>202</v>
      </c>
      <c r="C112" s="661"/>
      <c r="D112" s="652" t="s">
        <v>1197</v>
      </c>
    </row>
    <row r="113" spans="1:4" ht="36.75" customHeight="1">
      <c r="A113" s="649"/>
      <c r="B113" s="650" t="s">
        <v>203</v>
      </c>
      <c r="C113" s="661"/>
      <c r="D113" s="652" t="s">
        <v>1197</v>
      </c>
    </row>
    <row r="114" spans="1:4" ht="36.75" customHeight="1">
      <c r="A114" s="649"/>
      <c r="B114" s="650" t="s">
        <v>204</v>
      </c>
      <c r="C114" s="661"/>
      <c r="D114" s="652" t="s">
        <v>1197</v>
      </c>
    </row>
    <row r="115" spans="1:4" ht="36.75" customHeight="1">
      <c r="A115" s="649"/>
      <c r="B115" s="650" t="s">
        <v>205</v>
      </c>
      <c r="C115" s="661"/>
      <c r="D115" s="652" t="s">
        <v>1197</v>
      </c>
    </row>
    <row r="116" spans="1:4" ht="36.75" customHeight="1">
      <c r="A116" s="667"/>
      <c r="B116" s="650" t="s">
        <v>606</v>
      </c>
      <c r="C116" s="661"/>
      <c r="D116" s="652" t="s">
        <v>1197</v>
      </c>
    </row>
    <row r="117" spans="1:4" s="660" customFormat="1" ht="36.75" customHeight="1">
      <c r="A117" s="656">
        <v>9.5</v>
      </c>
      <c r="B117" s="665" t="s">
        <v>54</v>
      </c>
      <c r="C117" s="658"/>
      <c r="D117" s="659"/>
    </row>
    <row r="118" spans="1:4" s="660" customFormat="1" ht="36.75" customHeight="1">
      <c r="A118" s="656"/>
      <c r="B118" s="657" t="s">
        <v>202</v>
      </c>
      <c r="C118" s="658">
        <f>ROUND(Data!K347,2)</f>
        <v>6587.3</v>
      </c>
      <c r="D118" s="659" t="s">
        <v>1197</v>
      </c>
    </row>
    <row r="119" spans="1:4" s="660" customFormat="1" ht="36.75" customHeight="1">
      <c r="A119" s="656"/>
      <c r="B119" s="657" t="s">
        <v>203</v>
      </c>
      <c r="C119" s="658">
        <f>ROUND(Data!K348,2)</f>
        <v>6746.5</v>
      </c>
      <c r="D119" s="659" t="s">
        <v>1197</v>
      </c>
    </row>
    <row r="120" spans="1:4" s="660" customFormat="1" ht="36.75" customHeight="1">
      <c r="A120" s="656"/>
      <c r="B120" s="657" t="s">
        <v>204</v>
      </c>
      <c r="C120" s="658">
        <f>ROUND(Data!K349,2)</f>
        <v>6905.7</v>
      </c>
      <c r="D120" s="659" t="s">
        <v>1197</v>
      </c>
    </row>
    <row r="121" spans="1:4" s="660" customFormat="1" ht="36.75" customHeight="1">
      <c r="A121" s="656"/>
      <c r="B121" s="657" t="s">
        <v>205</v>
      </c>
      <c r="C121" s="658">
        <f>ROUND(Data!K350,2)</f>
        <v>7064.9</v>
      </c>
      <c r="D121" s="659" t="s">
        <v>1197</v>
      </c>
    </row>
    <row r="122" spans="1:4" s="660" customFormat="1" ht="36.75" customHeight="1">
      <c r="A122" s="668"/>
      <c r="B122" s="657" t="s">
        <v>606</v>
      </c>
      <c r="C122" s="658">
        <f>ROUND(Data!K351,2)</f>
        <v>7224.1</v>
      </c>
      <c r="D122" s="659" t="s">
        <v>1197</v>
      </c>
    </row>
    <row r="123" spans="1:4" ht="36.75" customHeight="1">
      <c r="A123" s="649">
        <v>9.6</v>
      </c>
      <c r="B123" s="650" t="s">
        <v>1573</v>
      </c>
      <c r="C123" s="661"/>
      <c r="D123" s="652"/>
    </row>
    <row r="124" spans="1:4" ht="36.75" customHeight="1">
      <c r="A124" s="649"/>
      <c r="B124" s="650" t="s">
        <v>202</v>
      </c>
      <c r="C124" s="661"/>
      <c r="D124" s="652" t="s">
        <v>1197</v>
      </c>
    </row>
    <row r="125" spans="1:4" ht="36.75" customHeight="1">
      <c r="A125" s="649"/>
      <c r="B125" s="650" t="s">
        <v>203</v>
      </c>
      <c r="C125" s="661"/>
      <c r="D125" s="652" t="s">
        <v>1197</v>
      </c>
    </row>
    <row r="126" spans="1:4" ht="36.75" customHeight="1">
      <c r="A126" s="649"/>
      <c r="B126" s="650" t="s">
        <v>204</v>
      </c>
      <c r="C126" s="661"/>
      <c r="D126" s="652" t="s">
        <v>1197</v>
      </c>
    </row>
    <row r="127" spans="1:4" ht="36.75" customHeight="1">
      <c r="A127" s="649"/>
      <c r="B127" s="650" t="s">
        <v>205</v>
      </c>
      <c r="C127" s="661"/>
      <c r="D127" s="652" t="s">
        <v>1197</v>
      </c>
    </row>
    <row r="128" spans="1:4" ht="36.75" customHeight="1">
      <c r="A128" s="667"/>
      <c r="B128" s="650" t="s">
        <v>606</v>
      </c>
      <c r="C128" s="661"/>
      <c r="D128" s="652" t="s">
        <v>1197</v>
      </c>
    </row>
    <row r="129" spans="1:4" ht="36.75" customHeight="1">
      <c r="A129" s="649">
        <v>10.1</v>
      </c>
      <c r="B129" s="664" t="s">
        <v>6174</v>
      </c>
      <c r="C129" s="661"/>
      <c r="D129" s="652"/>
    </row>
    <row r="130" spans="1:4" ht="36.75" customHeight="1">
      <c r="A130" s="649"/>
      <c r="B130" s="650" t="s">
        <v>544</v>
      </c>
      <c r="C130" s="661">
        <f>ROUND(Data!X400,2)</f>
        <v>842.47</v>
      </c>
      <c r="D130" s="652" t="s">
        <v>1842</v>
      </c>
    </row>
    <row r="131" spans="1:4" ht="36.75" customHeight="1">
      <c r="A131" s="649"/>
      <c r="B131" s="650" t="s">
        <v>545</v>
      </c>
      <c r="C131" s="661">
        <f>ROUND(Data!X402,2)</f>
        <v>851.31</v>
      </c>
      <c r="D131" s="652" t="s">
        <v>1842</v>
      </c>
    </row>
    <row r="132" spans="1:4" ht="36.75" customHeight="1">
      <c r="A132" s="649"/>
      <c r="B132" s="650" t="s">
        <v>547</v>
      </c>
      <c r="C132" s="661">
        <f>ROUND(Data!X403,2)</f>
        <v>869.14</v>
      </c>
      <c r="D132" s="652" t="s">
        <v>1842</v>
      </c>
    </row>
    <row r="133" spans="1:4" ht="36.75" customHeight="1">
      <c r="A133" s="649"/>
      <c r="B133" s="650" t="s">
        <v>1806</v>
      </c>
      <c r="C133" s="661">
        <f>ROUND(Data!X404,2)</f>
        <v>886.97</v>
      </c>
      <c r="D133" s="652" t="s">
        <v>1842</v>
      </c>
    </row>
    <row r="134" spans="1:4" ht="36.75" customHeight="1">
      <c r="A134" s="649"/>
      <c r="B134" s="650" t="s">
        <v>2215</v>
      </c>
      <c r="C134" s="661">
        <f>ROUND(Data!X405,2)</f>
        <v>904.8</v>
      </c>
      <c r="D134" s="652" t="s">
        <v>1842</v>
      </c>
    </row>
    <row r="135" spans="1:4" ht="36.75" customHeight="1">
      <c r="A135" s="667"/>
      <c r="B135" s="650" t="s">
        <v>1064</v>
      </c>
      <c r="C135" s="661">
        <f>ROUND(Data!X406,2)</f>
        <v>922.63</v>
      </c>
      <c r="D135" s="652" t="s">
        <v>1842</v>
      </c>
    </row>
    <row r="136" spans="1:4" ht="36.75" customHeight="1">
      <c r="A136" s="649">
        <v>10.199999999999999</v>
      </c>
      <c r="B136" s="664" t="s">
        <v>6175</v>
      </c>
      <c r="C136" s="661"/>
      <c r="D136" s="652"/>
    </row>
    <row r="137" spans="1:4" ht="36.75" customHeight="1">
      <c r="A137" s="649"/>
      <c r="B137" s="650" t="s">
        <v>544</v>
      </c>
      <c r="C137" s="661">
        <f>ROUND(Data!AG409,2)</f>
        <v>823.62</v>
      </c>
      <c r="D137" s="652" t="s">
        <v>1842</v>
      </c>
    </row>
    <row r="138" spans="1:4" ht="36.75" customHeight="1">
      <c r="A138" s="649"/>
      <c r="B138" s="650" t="s">
        <v>3794</v>
      </c>
      <c r="C138" s="661">
        <f>ROUND(Data!AG411,2)</f>
        <v>832.61</v>
      </c>
      <c r="D138" s="652" t="s">
        <v>1842</v>
      </c>
    </row>
    <row r="139" spans="1:4" ht="36.75" customHeight="1">
      <c r="A139" s="649"/>
      <c r="B139" s="650" t="s">
        <v>547</v>
      </c>
      <c r="C139" s="661">
        <f>ROUND(Data!AG412,2)</f>
        <v>850.76</v>
      </c>
      <c r="D139" s="652" t="s">
        <v>1842</v>
      </c>
    </row>
    <row r="140" spans="1:4" ht="36.75" customHeight="1">
      <c r="A140" s="649"/>
      <c r="B140" s="650" t="s">
        <v>1806</v>
      </c>
      <c r="C140" s="661">
        <f>ROUND(Data!AG413,2)</f>
        <v>868.91</v>
      </c>
      <c r="D140" s="652" t="s">
        <v>1842</v>
      </c>
    </row>
    <row r="141" spans="1:4" ht="36.75" customHeight="1">
      <c r="A141" s="649"/>
      <c r="B141" s="650" t="s">
        <v>2215</v>
      </c>
      <c r="C141" s="661">
        <f>ROUND(Data!AG414,2)</f>
        <v>887.06</v>
      </c>
      <c r="D141" s="652" t="s">
        <v>1842</v>
      </c>
    </row>
    <row r="142" spans="1:4" ht="36.75" customHeight="1">
      <c r="A142" s="667"/>
      <c r="B142" s="650" t="s">
        <v>1064</v>
      </c>
      <c r="C142" s="661">
        <f>ROUND(Data!AG415,2)</f>
        <v>905.21</v>
      </c>
      <c r="D142" s="652" t="s">
        <v>1842</v>
      </c>
    </row>
    <row r="143" spans="1:4" ht="36.75" customHeight="1">
      <c r="A143" s="667"/>
      <c r="B143" s="650" t="s">
        <v>3771</v>
      </c>
      <c r="C143" s="661">
        <f>ROUND(Data!AG416,2)</f>
        <v>923.36</v>
      </c>
      <c r="D143" s="652" t="s">
        <v>1842</v>
      </c>
    </row>
    <row r="144" spans="1:4" ht="36.75" customHeight="1">
      <c r="A144" s="667"/>
      <c r="B144" s="650" t="s">
        <v>3772</v>
      </c>
      <c r="C144" s="661">
        <f>ROUND(Data!AG417,2)</f>
        <v>941.51</v>
      </c>
      <c r="D144" s="652" t="s">
        <v>1842</v>
      </c>
    </row>
    <row r="145" spans="1:4" ht="36.75" customHeight="1">
      <c r="A145" s="667"/>
      <c r="B145" s="650" t="s">
        <v>3773</v>
      </c>
      <c r="C145" s="661">
        <f>ROUND(Data!AG418,2)</f>
        <v>959.66</v>
      </c>
      <c r="D145" s="652" t="s">
        <v>1842</v>
      </c>
    </row>
    <row r="146" spans="1:4" ht="36.75" customHeight="1">
      <c r="A146" s="667"/>
      <c r="B146" s="650" t="s">
        <v>3774</v>
      </c>
      <c r="C146" s="661">
        <f>ROUND(Data!AG419,2)</f>
        <v>977.81</v>
      </c>
      <c r="D146" s="652" t="s">
        <v>1842</v>
      </c>
    </row>
    <row r="147" spans="1:4" ht="36.75" customHeight="1">
      <c r="A147" s="667"/>
      <c r="B147" s="650" t="s">
        <v>3775</v>
      </c>
      <c r="C147" s="661">
        <f>ROUND(Data!AG420,2)</f>
        <v>995.96</v>
      </c>
      <c r="D147" s="652" t="s">
        <v>1842</v>
      </c>
    </row>
    <row r="148" spans="1:4" ht="36.75" customHeight="1">
      <c r="A148" s="667"/>
      <c r="B148" s="650" t="s">
        <v>3776</v>
      </c>
      <c r="C148" s="661">
        <f>ROUND(Data!AG421,2)</f>
        <v>1014.11</v>
      </c>
      <c r="D148" s="652" t="s">
        <v>1842</v>
      </c>
    </row>
    <row r="149" spans="1:4" ht="36.75" customHeight="1">
      <c r="A149" s="667"/>
      <c r="B149" s="650" t="s">
        <v>3777</v>
      </c>
      <c r="C149" s="661">
        <f>ROUND(Data!AG422,2)</f>
        <v>1032.26</v>
      </c>
      <c r="D149" s="652" t="s">
        <v>1842</v>
      </c>
    </row>
    <row r="150" spans="1:4" ht="36.75" customHeight="1">
      <c r="A150" s="667"/>
      <c r="B150" s="650" t="s">
        <v>3778</v>
      </c>
      <c r="C150" s="661">
        <f>Data!AI422</f>
        <v>1050.4100000000001</v>
      </c>
      <c r="D150" s="652" t="s">
        <v>1842</v>
      </c>
    </row>
    <row r="151" spans="1:4" ht="36.75" customHeight="1">
      <c r="A151" s="667"/>
      <c r="B151" s="650" t="s">
        <v>3783</v>
      </c>
      <c r="C151" s="661">
        <f>Data!AI423</f>
        <v>1068.56</v>
      </c>
      <c r="D151" s="652" t="s">
        <v>1842</v>
      </c>
    </row>
    <row r="152" spans="1:4" ht="36.75" customHeight="1">
      <c r="A152" s="649">
        <v>10.3</v>
      </c>
      <c r="B152" s="664" t="s">
        <v>6176</v>
      </c>
      <c r="C152" s="661"/>
      <c r="D152" s="652"/>
    </row>
    <row r="153" spans="1:4" ht="36.75" customHeight="1">
      <c r="A153" s="649"/>
      <c r="B153" s="650" t="s">
        <v>544</v>
      </c>
      <c r="C153" s="661"/>
      <c r="D153" s="652" t="s">
        <v>1842</v>
      </c>
    </row>
    <row r="154" spans="1:4" ht="36.75" customHeight="1">
      <c r="A154" s="649"/>
      <c r="B154" s="650" t="s">
        <v>545</v>
      </c>
      <c r="C154" s="661"/>
      <c r="D154" s="652" t="s">
        <v>1842</v>
      </c>
    </row>
    <row r="155" spans="1:4" ht="36.75" customHeight="1">
      <c r="A155" s="649"/>
      <c r="B155" s="650" t="s">
        <v>547</v>
      </c>
      <c r="C155" s="661"/>
      <c r="D155" s="652" t="s">
        <v>1842</v>
      </c>
    </row>
    <row r="156" spans="1:4" ht="36.75" customHeight="1">
      <c r="A156" s="649"/>
      <c r="B156" s="650" t="s">
        <v>1806</v>
      </c>
      <c r="C156" s="661"/>
      <c r="D156" s="652" t="s">
        <v>1842</v>
      </c>
    </row>
    <row r="157" spans="1:4" ht="36.75" customHeight="1">
      <c r="A157" s="649"/>
      <c r="B157" s="650" t="s">
        <v>2215</v>
      </c>
      <c r="C157" s="661"/>
      <c r="D157" s="652" t="s">
        <v>1842</v>
      </c>
    </row>
    <row r="158" spans="1:4" ht="36.75" customHeight="1">
      <c r="A158" s="667"/>
      <c r="B158" s="650" t="s">
        <v>1064</v>
      </c>
      <c r="C158" s="661"/>
      <c r="D158" s="652" t="s">
        <v>1842</v>
      </c>
    </row>
    <row r="159" spans="1:4" ht="36.75" customHeight="1">
      <c r="A159" s="649">
        <v>10.4</v>
      </c>
      <c r="B159" s="664" t="s">
        <v>6177</v>
      </c>
      <c r="C159" s="661"/>
      <c r="D159" s="652"/>
    </row>
    <row r="160" spans="1:4" ht="36.75" customHeight="1">
      <c r="A160" s="649"/>
      <c r="B160" s="650" t="s">
        <v>544</v>
      </c>
      <c r="C160" s="661"/>
      <c r="D160" s="652" t="s">
        <v>1842</v>
      </c>
    </row>
    <row r="161" spans="1:4" ht="36.75" customHeight="1">
      <c r="A161" s="649"/>
      <c r="B161" s="650" t="s">
        <v>545</v>
      </c>
      <c r="C161" s="661"/>
      <c r="D161" s="652" t="s">
        <v>1842</v>
      </c>
    </row>
    <row r="162" spans="1:4" ht="36.75" customHeight="1">
      <c r="A162" s="649"/>
      <c r="B162" s="650" t="s">
        <v>547</v>
      </c>
      <c r="C162" s="661"/>
      <c r="D162" s="652" t="s">
        <v>1842</v>
      </c>
    </row>
    <row r="163" spans="1:4" ht="36.75" customHeight="1">
      <c r="A163" s="649"/>
      <c r="B163" s="650" t="s">
        <v>1806</v>
      </c>
      <c r="C163" s="661"/>
      <c r="D163" s="652" t="s">
        <v>1842</v>
      </c>
    </row>
    <row r="164" spans="1:4" ht="36.75" customHeight="1">
      <c r="A164" s="649"/>
      <c r="B164" s="650" t="s">
        <v>2215</v>
      </c>
      <c r="C164" s="661"/>
      <c r="D164" s="652" t="s">
        <v>1842</v>
      </c>
    </row>
    <row r="165" spans="1:4" ht="36.75" customHeight="1">
      <c r="A165" s="667"/>
      <c r="B165" s="650" t="s">
        <v>1064</v>
      </c>
      <c r="C165" s="661"/>
      <c r="D165" s="652" t="s">
        <v>1842</v>
      </c>
    </row>
    <row r="166" spans="1:4" s="660" customFormat="1" ht="36.75" customHeight="1">
      <c r="A166" s="656">
        <v>10.5</v>
      </c>
      <c r="B166" s="665" t="s">
        <v>6178</v>
      </c>
      <c r="C166" s="658"/>
      <c r="D166" s="659"/>
    </row>
    <row r="167" spans="1:4" s="660" customFormat="1" ht="36.75" customHeight="1">
      <c r="A167" s="656"/>
      <c r="B167" s="657" t="s">
        <v>544</v>
      </c>
      <c r="C167" s="658">
        <f>ROUND(Data!K400,2)</f>
        <v>797.98</v>
      </c>
      <c r="D167" s="659" t="s">
        <v>1842</v>
      </c>
    </row>
    <row r="168" spans="1:4" s="660" customFormat="1" ht="36.75" customHeight="1">
      <c r="A168" s="656"/>
      <c r="B168" s="657" t="s">
        <v>545</v>
      </c>
      <c r="C168" s="658">
        <f>ROUND(Data!K402,2)</f>
        <v>806.66</v>
      </c>
      <c r="D168" s="659" t="s">
        <v>1842</v>
      </c>
    </row>
    <row r="169" spans="1:4" s="660" customFormat="1" ht="36.75" customHeight="1">
      <c r="A169" s="656"/>
      <c r="B169" s="657" t="s">
        <v>547</v>
      </c>
      <c r="C169" s="658">
        <f>ROUND(Data!K403,2)</f>
        <v>824.17</v>
      </c>
      <c r="D169" s="659" t="s">
        <v>1842</v>
      </c>
    </row>
    <row r="170" spans="1:4" s="660" customFormat="1" ht="36.75" customHeight="1">
      <c r="A170" s="656"/>
      <c r="B170" s="657" t="s">
        <v>1806</v>
      </c>
      <c r="C170" s="658">
        <f>ROUND(Data!K404,2)</f>
        <v>841.68</v>
      </c>
      <c r="D170" s="659" t="s">
        <v>1842</v>
      </c>
    </row>
    <row r="171" spans="1:4" s="660" customFormat="1" ht="36.75" customHeight="1">
      <c r="A171" s="656"/>
      <c r="B171" s="657" t="s">
        <v>2215</v>
      </c>
      <c r="C171" s="658">
        <f>ROUND(Data!K405,2)</f>
        <v>859.19</v>
      </c>
      <c r="D171" s="659" t="s">
        <v>1842</v>
      </c>
    </row>
    <row r="172" spans="1:4" ht="36.75" customHeight="1">
      <c r="A172" s="666"/>
      <c r="B172" s="650" t="s">
        <v>1064</v>
      </c>
      <c r="C172" s="654">
        <f>ROUND(Data!K406,2)</f>
        <v>876.7</v>
      </c>
      <c r="D172" s="652" t="s">
        <v>1842</v>
      </c>
    </row>
    <row r="173" spans="1:4" ht="59.25" customHeight="1">
      <c r="A173" s="649">
        <v>10.6</v>
      </c>
      <c r="B173" s="664" t="s">
        <v>6179</v>
      </c>
      <c r="C173" s="661"/>
      <c r="D173" s="652"/>
    </row>
    <row r="174" spans="1:4" ht="36.75" customHeight="1">
      <c r="A174" s="649"/>
      <c r="B174" s="650" t="s">
        <v>544</v>
      </c>
      <c r="C174" s="661"/>
      <c r="D174" s="652" t="s">
        <v>1842</v>
      </c>
    </row>
    <row r="175" spans="1:4" ht="36.75" customHeight="1">
      <c r="A175" s="649"/>
      <c r="B175" s="650" t="s">
        <v>545</v>
      </c>
      <c r="C175" s="661"/>
      <c r="D175" s="652" t="s">
        <v>1842</v>
      </c>
    </row>
    <row r="176" spans="1:4" ht="36.75" customHeight="1">
      <c r="A176" s="649"/>
      <c r="B176" s="650" t="s">
        <v>547</v>
      </c>
      <c r="C176" s="661"/>
      <c r="D176" s="652" t="s">
        <v>1842</v>
      </c>
    </row>
    <row r="177" spans="1:4" ht="36.75" customHeight="1">
      <c r="A177" s="649"/>
      <c r="B177" s="650" t="s">
        <v>1806</v>
      </c>
      <c r="C177" s="661"/>
      <c r="D177" s="652" t="s">
        <v>1842</v>
      </c>
    </row>
    <row r="178" spans="1:4" ht="36.75" customHeight="1">
      <c r="A178" s="649"/>
      <c r="B178" s="650" t="s">
        <v>2215</v>
      </c>
      <c r="C178" s="661"/>
      <c r="D178" s="652" t="s">
        <v>1842</v>
      </c>
    </row>
    <row r="179" spans="1:4" ht="36.75" customHeight="1">
      <c r="A179" s="667"/>
      <c r="B179" s="650" t="s">
        <v>1064</v>
      </c>
      <c r="C179" s="661"/>
      <c r="D179" s="652" t="s">
        <v>1842</v>
      </c>
    </row>
    <row r="180" spans="1:4" ht="36.75" customHeight="1">
      <c r="A180" s="649">
        <v>11.1</v>
      </c>
      <c r="B180" s="664" t="s">
        <v>6180</v>
      </c>
      <c r="C180" s="661"/>
      <c r="D180" s="652"/>
    </row>
    <row r="181" spans="1:4" ht="36.75" customHeight="1">
      <c r="A181" s="649"/>
      <c r="B181" s="650" t="s">
        <v>202</v>
      </c>
      <c r="C181" s="661">
        <f>ROUND(Data!X434,2)</f>
        <v>569.53</v>
      </c>
      <c r="D181" s="652" t="s">
        <v>1842</v>
      </c>
    </row>
    <row r="182" spans="1:4" ht="36.75" customHeight="1">
      <c r="A182" s="649"/>
      <c r="B182" s="650" t="s">
        <v>203</v>
      </c>
      <c r="C182" s="661">
        <f>ROUND(Data!X435,2)</f>
        <v>580.66999999999996</v>
      </c>
      <c r="D182" s="652" t="s">
        <v>1842</v>
      </c>
    </row>
    <row r="183" spans="1:4" ht="36.75" customHeight="1">
      <c r="A183" s="649"/>
      <c r="B183" s="650" t="s">
        <v>204</v>
      </c>
      <c r="C183" s="661">
        <f>ROUND(Data!X436,2)</f>
        <v>591.80999999999995</v>
      </c>
      <c r="D183" s="652" t="s">
        <v>1842</v>
      </c>
    </row>
    <row r="184" spans="1:4" ht="36.75" customHeight="1">
      <c r="A184" s="649"/>
      <c r="B184" s="650" t="s">
        <v>205</v>
      </c>
      <c r="C184" s="661">
        <f>ROUND(Data!X437,2)</f>
        <v>602.95000000000005</v>
      </c>
      <c r="D184" s="652" t="s">
        <v>1842</v>
      </c>
    </row>
    <row r="185" spans="1:4" ht="36.75" customHeight="1">
      <c r="A185" s="667"/>
      <c r="B185" s="650" t="s">
        <v>606</v>
      </c>
      <c r="C185" s="661">
        <f>ROUND(Data!X438,2)</f>
        <v>614.09</v>
      </c>
      <c r="D185" s="652" t="s">
        <v>1842</v>
      </c>
    </row>
    <row r="186" spans="1:4" ht="36.75" customHeight="1">
      <c r="A186" s="649">
        <v>11.2</v>
      </c>
      <c r="B186" s="664" t="s">
        <v>6181</v>
      </c>
      <c r="C186" s="661"/>
      <c r="D186" s="652"/>
    </row>
    <row r="187" spans="1:4" ht="36.75" customHeight="1">
      <c r="A187" s="649"/>
      <c r="B187" s="650" t="s">
        <v>202</v>
      </c>
      <c r="C187" s="661">
        <f>ROUND(Data!AG448,2)</f>
        <v>581.95000000000005</v>
      </c>
      <c r="D187" s="652" t="s">
        <v>1842</v>
      </c>
    </row>
    <row r="188" spans="1:4" ht="36.75" customHeight="1">
      <c r="A188" s="649"/>
      <c r="B188" s="650" t="s">
        <v>203</v>
      </c>
      <c r="C188" s="661">
        <f>ROUND(Data!AG449,2)</f>
        <v>593.89</v>
      </c>
      <c r="D188" s="652" t="s">
        <v>1842</v>
      </c>
    </row>
    <row r="189" spans="1:4" ht="36.75" customHeight="1">
      <c r="A189" s="649"/>
      <c r="B189" s="650" t="s">
        <v>204</v>
      </c>
      <c r="C189" s="661">
        <f>ROUND(Data!AG450,2)</f>
        <v>605.83000000000004</v>
      </c>
      <c r="D189" s="652" t="s">
        <v>1842</v>
      </c>
    </row>
    <row r="190" spans="1:4" ht="36.75" customHeight="1">
      <c r="A190" s="649"/>
      <c r="B190" s="650" t="s">
        <v>205</v>
      </c>
      <c r="C190" s="661">
        <f>ROUND(Data!AG451,2)</f>
        <v>617.77</v>
      </c>
      <c r="D190" s="652" t="s">
        <v>1842</v>
      </c>
    </row>
    <row r="191" spans="1:4" ht="36.75" customHeight="1">
      <c r="A191" s="667"/>
      <c r="B191" s="650" t="s">
        <v>606</v>
      </c>
      <c r="C191" s="661">
        <f>ROUND(Data!AG452,2)</f>
        <v>629.71</v>
      </c>
      <c r="D191" s="652" t="s">
        <v>1842</v>
      </c>
    </row>
    <row r="192" spans="1:4" ht="36.75" customHeight="1">
      <c r="A192" s="649">
        <v>11.3</v>
      </c>
      <c r="B192" s="664" t="s">
        <v>6182</v>
      </c>
      <c r="C192" s="661"/>
      <c r="D192" s="652"/>
    </row>
    <row r="193" spans="1:4" ht="36.75" customHeight="1">
      <c r="A193" s="649"/>
      <c r="B193" s="650" t="s">
        <v>202</v>
      </c>
      <c r="C193" s="661"/>
      <c r="D193" s="652" t="s">
        <v>1842</v>
      </c>
    </row>
    <row r="194" spans="1:4" ht="36.75" customHeight="1">
      <c r="A194" s="649"/>
      <c r="B194" s="650" t="s">
        <v>203</v>
      </c>
      <c r="C194" s="661"/>
      <c r="D194" s="652" t="s">
        <v>1842</v>
      </c>
    </row>
    <row r="195" spans="1:4" ht="36.75" customHeight="1">
      <c r="A195" s="649"/>
      <c r="B195" s="650" t="s">
        <v>204</v>
      </c>
      <c r="C195" s="661"/>
      <c r="D195" s="652" t="s">
        <v>1842</v>
      </c>
    </row>
    <row r="196" spans="1:4" ht="36.75" customHeight="1">
      <c r="A196" s="649"/>
      <c r="B196" s="650" t="s">
        <v>205</v>
      </c>
      <c r="C196" s="661"/>
      <c r="D196" s="652" t="s">
        <v>1842</v>
      </c>
    </row>
    <row r="197" spans="1:4" ht="36.75" customHeight="1">
      <c r="A197" s="667"/>
      <c r="B197" s="650" t="s">
        <v>606</v>
      </c>
      <c r="C197" s="661"/>
      <c r="D197" s="652" t="s">
        <v>1842</v>
      </c>
    </row>
    <row r="198" spans="1:4" ht="36.75" customHeight="1">
      <c r="A198" s="649">
        <v>11.4</v>
      </c>
      <c r="B198" s="664" t="s">
        <v>6183</v>
      </c>
      <c r="C198" s="661"/>
      <c r="D198" s="652"/>
    </row>
    <row r="199" spans="1:4" ht="36.75" customHeight="1">
      <c r="A199" s="650"/>
      <c r="B199" s="650" t="s">
        <v>202</v>
      </c>
      <c r="C199" s="661"/>
      <c r="D199" s="652" t="s">
        <v>1842</v>
      </c>
    </row>
    <row r="200" spans="1:4" ht="36.75" customHeight="1">
      <c r="A200" s="650"/>
      <c r="B200" s="650" t="s">
        <v>203</v>
      </c>
      <c r="C200" s="661"/>
      <c r="D200" s="652" t="s">
        <v>1842</v>
      </c>
    </row>
    <row r="201" spans="1:4" ht="36.75" customHeight="1">
      <c r="A201" s="650"/>
      <c r="B201" s="650" t="s">
        <v>204</v>
      </c>
      <c r="C201" s="661"/>
      <c r="D201" s="652" t="s">
        <v>1842</v>
      </c>
    </row>
    <row r="202" spans="1:4" ht="36.75" customHeight="1">
      <c r="A202" s="650"/>
      <c r="B202" s="650" t="s">
        <v>205</v>
      </c>
      <c r="C202" s="661"/>
      <c r="D202" s="652" t="s">
        <v>1842</v>
      </c>
    </row>
    <row r="203" spans="1:4" ht="36.75" customHeight="1">
      <c r="A203" s="669"/>
      <c r="B203" s="650" t="s">
        <v>606</v>
      </c>
      <c r="C203" s="661"/>
      <c r="D203" s="652" t="s">
        <v>1842</v>
      </c>
    </row>
    <row r="204" spans="1:4" s="660" customFormat="1" ht="36.75" customHeight="1">
      <c r="A204" s="670">
        <v>11.5</v>
      </c>
      <c r="B204" s="665" t="s">
        <v>6184</v>
      </c>
      <c r="C204" s="658"/>
      <c r="D204" s="659"/>
    </row>
    <row r="205" spans="1:4" s="660" customFormat="1" ht="36.75" customHeight="1">
      <c r="A205" s="670"/>
      <c r="B205" s="657" t="s">
        <v>202</v>
      </c>
      <c r="C205" s="658">
        <f>ROUND(Data!K434,2)</f>
        <v>549.65</v>
      </c>
      <c r="D205" s="659" t="s">
        <v>1842</v>
      </c>
    </row>
    <row r="206" spans="1:4" s="660" customFormat="1" ht="36.75" customHeight="1">
      <c r="A206" s="670"/>
      <c r="B206" s="657" t="s">
        <v>203</v>
      </c>
      <c r="C206" s="658">
        <f>ROUND(Data!K435,2)</f>
        <v>560.79</v>
      </c>
      <c r="D206" s="659" t="s">
        <v>1842</v>
      </c>
    </row>
    <row r="207" spans="1:4" s="660" customFormat="1" ht="36.75" customHeight="1">
      <c r="A207" s="670"/>
      <c r="B207" s="657" t="s">
        <v>204</v>
      </c>
      <c r="C207" s="658">
        <f>ROUND(Data!K436,2)</f>
        <v>571.92999999999995</v>
      </c>
      <c r="D207" s="659" t="s">
        <v>1842</v>
      </c>
    </row>
    <row r="208" spans="1:4" s="660" customFormat="1" ht="36.75" customHeight="1">
      <c r="A208" s="670"/>
      <c r="B208" s="657" t="s">
        <v>205</v>
      </c>
      <c r="C208" s="658">
        <f>ROUND(Data!K437,2)</f>
        <v>583.07000000000005</v>
      </c>
      <c r="D208" s="659" t="s">
        <v>1842</v>
      </c>
    </row>
    <row r="209" spans="1:4" ht="36.75" customHeight="1">
      <c r="A209" s="671"/>
      <c r="B209" s="650" t="s">
        <v>606</v>
      </c>
      <c r="C209" s="661">
        <f>ROUND(Data!K438,2)</f>
        <v>594.21</v>
      </c>
      <c r="D209" s="652" t="s">
        <v>1842</v>
      </c>
    </row>
    <row r="210" spans="1:4" ht="36.75" customHeight="1">
      <c r="A210" s="672">
        <v>11.6</v>
      </c>
      <c r="B210" s="664" t="s">
        <v>6185</v>
      </c>
      <c r="C210" s="661"/>
      <c r="D210" s="652"/>
    </row>
    <row r="211" spans="1:4" ht="36.75" customHeight="1">
      <c r="A211" s="672"/>
      <c r="B211" s="650" t="s">
        <v>202</v>
      </c>
      <c r="C211" s="661"/>
      <c r="D211" s="652" t="s">
        <v>1842</v>
      </c>
    </row>
    <row r="212" spans="1:4" ht="36.75" customHeight="1">
      <c r="A212" s="672"/>
      <c r="B212" s="650" t="s">
        <v>203</v>
      </c>
      <c r="C212" s="661"/>
      <c r="D212" s="652" t="s">
        <v>1842</v>
      </c>
    </row>
    <row r="213" spans="1:4" ht="36.75" customHeight="1">
      <c r="A213" s="672"/>
      <c r="B213" s="650" t="s">
        <v>204</v>
      </c>
      <c r="C213" s="661"/>
      <c r="D213" s="652" t="s">
        <v>1842</v>
      </c>
    </row>
    <row r="214" spans="1:4" ht="36.75" customHeight="1">
      <c r="A214" s="672"/>
      <c r="B214" s="650" t="s">
        <v>205</v>
      </c>
      <c r="C214" s="661"/>
      <c r="D214" s="652" t="s">
        <v>1842</v>
      </c>
    </row>
    <row r="215" spans="1:4" ht="36.75" customHeight="1">
      <c r="A215" s="671"/>
      <c r="B215" s="650" t="s">
        <v>606</v>
      </c>
      <c r="C215" s="661"/>
      <c r="D215" s="652" t="s">
        <v>1842</v>
      </c>
    </row>
    <row r="216" spans="1:4" ht="36.75" customHeight="1">
      <c r="A216" s="649">
        <v>12.1</v>
      </c>
      <c r="B216" s="664" t="s">
        <v>4346</v>
      </c>
      <c r="C216" s="654"/>
      <c r="D216" s="673"/>
    </row>
    <row r="217" spans="1:4" s="663" customFormat="1" ht="36.75" customHeight="1">
      <c r="A217" s="650"/>
      <c r="B217" s="650" t="s">
        <v>202</v>
      </c>
      <c r="C217" s="654">
        <f>ROUND(Data!K467,2)</f>
        <v>396.72</v>
      </c>
      <c r="D217" s="652" t="s">
        <v>1842</v>
      </c>
    </row>
    <row r="218" spans="1:4" s="663" customFormat="1" ht="36.75" customHeight="1">
      <c r="A218" s="650"/>
      <c r="B218" s="650" t="s">
        <v>203</v>
      </c>
      <c r="C218" s="654">
        <f>ROUND(Data!K468,2)</f>
        <v>404.68</v>
      </c>
      <c r="D218" s="652" t="s">
        <v>1842</v>
      </c>
    </row>
    <row r="219" spans="1:4" s="674" customFormat="1" ht="36.75" customHeight="1">
      <c r="A219" s="657"/>
      <c r="B219" s="657" t="s">
        <v>204</v>
      </c>
      <c r="C219" s="658">
        <f>ROUND(Data!K469,2)</f>
        <v>412.64</v>
      </c>
      <c r="D219" s="659" t="s">
        <v>1842</v>
      </c>
    </row>
    <row r="220" spans="1:4" s="674" customFormat="1" ht="36.75" customHeight="1">
      <c r="A220" s="657"/>
      <c r="B220" s="657" t="s">
        <v>205</v>
      </c>
      <c r="C220" s="658">
        <f>ROUND(Data!K470,2)</f>
        <v>420.6</v>
      </c>
      <c r="D220" s="659" t="s">
        <v>1842</v>
      </c>
    </row>
    <row r="221" spans="1:4" ht="36.75" customHeight="1">
      <c r="A221" s="669"/>
      <c r="B221" s="650" t="s">
        <v>606</v>
      </c>
      <c r="C221" s="661">
        <f>ROUND(Data!K471,2)</f>
        <v>428.56</v>
      </c>
      <c r="D221" s="652" t="s">
        <v>1842</v>
      </c>
    </row>
    <row r="222" spans="1:4" ht="36.75" customHeight="1">
      <c r="A222" s="649">
        <v>12.2</v>
      </c>
      <c r="B222" s="650" t="s">
        <v>1803</v>
      </c>
      <c r="C222" s="661"/>
      <c r="D222" s="673"/>
    </row>
    <row r="223" spans="1:4" ht="36.75" customHeight="1">
      <c r="A223" s="650"/>
      <c r="B223" s="650" t="s">
        <v>202</v>
      </c>
      <c r="C223" s="661"/>
      <c r="D223" s="652" t="s">
        <v>1842</v>
      </c>
    </row>
    <row r="224" spans="1:4" ht="36.75" customHeight="1">
      <c r="A224" s="650"/>
      <c r="B224" s="650" t="s">
        <v>203</v>
      </c>
      <c r="C224" s="661"/>
      <c r="D224" s="652" t="s">
        <v>1842</v>
      </c>
    </row>
    <row r="225" spans="1:4" ht="36.75" customHeight="1">
      <c r="A225" s="650"/>
      <c r="B225" s="650" t="s">
        <v>204</v>
      </c>
      <c r="C225" s="661"/>
      <c r="D225" s="652" t="s">
        <v>1842</v>
      </c>
    </row>
    <row r="226" spans="1:4" ht="36.75" customHeight="1">
      <c r="A226" s="650"/>
      <c r="B226" s="650" t="s">
        <v>205</v>
      </c>
      <c r="C226" s="661"/>
      <c r="D226" s="652" t="s">
        <v>1842</v>
      </c>
    </row>
    <row r="227" spans="1:4" ht="36.75" customHeight="1">
      <c r="A227" s="669"/>
      <c r="B227" s="650" t="s">
        <v>606</v>
      </c>
      <c r="C227" s="661"/>
      <c r="D227" s="652" t="s">
        <v>1842</v>
      </c>
    </row>
    <row r="228" spans="1:4" ht="36.75" customHeight="1">
      <c r="A228" s="669"/>
      <c r="B228" s="650"/>
      <c r="C228" s="661"/>
      <c r="D228" s="652"/>
    </row>
    <row r="229" spans="1:4" s="678" customFormat="1" ht="36.75" customHeight="1">
      <c r="A229" s="675">
        <v>13.1</v>
      </c>
      <c r="B229" s="676" t="s">
        <v>1063</v>
      </c>
      <c r="C229" s="653">
        <f>ROUND(Data!K482,2)</f>
        <v>38.950000000000003</v>
      </c>
      <c r="D229" s="677" t="s">
        <v>1197</v>
      </c>
    </row>
    <row r="230" spans="1:4" ht="36.75" customHeight="1">
      <c r="A230" s="675">
        <v>13.2</v>
      </c>
      <c r="B230" s="676" t="s">
        <v>1720</v>
      </c>
      <c r="C230" s="679"/>
      <c r="D230" s="677" t="s">
        <v>1197</v>
      </c>
    </row>
    <row r="231" spans="1:4" s="663" customFormat="1" ht="36.75" customHeight="1">
      <c r="A231" s="680" t="s">
        <v>995</v>
      </c>
      <c r="B231" s="681" t="s">
        <v>88</v>
      </c>
      <c r="C231" s="653"/>
      <c r="D231" s="677"/>
    </row>
    <row r="232" spans="1:4" s="663" customFormat="1" ht="36.75" customHeight="1">
      <c r="A232" s="676"/>
      <c r="B232" s="676" t="s">
        <v>1252</v>
      </c>
      <c r="C232" s="653">
        <f>ROUND(Data!K535,2)</f>
        <v>1479.41</v>
      </c>
      <c r="D232" s="677" t="s">
        <v>1842</v>
      </c>
    </row>
    <row r="233" spans="1:4" s="663" customFormat="1" ht="36.75" customHeight="1">
      <c r="A233" s="650"/>
      <c r="B233" s="650" t="s">
        <v>1386</v>
      </c>
      <c r="C233" s="654">
        <f>ROUND(Data!K536,2)</f>
        <v>1484.18</v>
      </c>
      <c r="D233" s="652" t="s">
        <v>1842</v>
      </c>
    </row>
    <row r="234" spans="1:4" s="663" customFormat="1" ht="36.75" customHeight="1">
      <c r="A234" s="650"/>
      <c r="B234" s="650" t="s">
        <v>1434</v>
      </c>
      <c r="C234" s="654">
        <f>ROUND(Data!K537,2)</f>
        <v>1488.95</v>
      </c>
      <c r="D234" s="652" t="s">
        <v>1842</v>
      </c>
    </row>
    <row r="235" spans="1:4" s="663" customFormat="1" ht="36.75" customHeight="1">
      <c r="A235" s="650"/>
      <c r="B235" s="650" t="s">
        <v>1324</v>
      </c>
      <c r="C235" s="654">
        <f>ROUND(Data!K538,2)</f>
        <v>1493.72</v>
      </c>
      <c r="D235" s="652" t="s">
        <v>1842</v>
      </c>
    </row>
    <row r="236" spans="1:4" ht="36.75" customHeight="1">
      <c r="A236" s="669"/>
      <c r="B236" s="650" t="s">
        <v>1078</v>
      </c>
      <c r="C236" s="661">
        <f>ROUND(Data!K539,2)</f>
        <v>1498.49</v>
      </c>
      <c r="D236" s="652" t="s">
        <v>1842</v>
      </c>
    </row>
    <row r="237" spans="1:4" ht="36.75" customHeight="1">
      <c r="A237" s="669"/>
      <c r="B237" s="650" t="s">
        <v>3771</v>
      </c>
      <c r="C237" s="661">
        <f>ROUND(Data!K540,2)</f>
        <v>1503.26</v>
      </c>
      <c r="D237" s="652" t="s">
        <v>1842</v>
      </c>
    </row>
    <row r="238" spans="1:4" ht="36.75" customHeight="1">
      <c r="A238" s="669"/>
      <c r="B238" s="650" t="s">
        <v>3772</v>
      </c>
      <c r="C238" s="661">
        <f>ROUND(Data!K541,2)</f>
        <v>1508.03</v>
      </c>
      <c r="D238" s="652" t="s">
        <v>1842</v>
      </c>
    </row>
    <row r="239" spans="1:4" ht="36.75" customHeight="1">
      <c r="A239" s="669"/>
      <c r="B239" s="650" t="s">
        <v>3773</v>
      </c>
      <c r="C239" s="661">
        <f>ROUND(Data!K542,2)</f>
        <v>1512.8</v>
      </c>
      <c r="D239" s="652" t="s">
        <v>1842</v>
      </c>
    </row>
    <row r="240" spans="1:4" ht="36.75" customHeight="1">
      <c r="A240" s="669"/>
      <c r="B240" s="650" t="s">
        <v>3774</v>
      </c>
      <c r="C240" s="661">
        <f>ROUND(Data!K543,2)</f>
        <v>1517.57</v>
      </c>
      <c r="D240" s="652" t="s">
        <v>1842</v>
      </c>
    </row>
    <row r="241" spans="1:4" ht="36.75" customHeight="1">
      <c r="A241" s="669"/>
      <c r="B241" s="650" t="s">
        <v>3775</v>
      </c>
      <c r="C241" s="661">
        <f>ROUND(Data!K544,2)</f>
        <v>1522.34</v>
      </c>
      <c r="D241" s="652" t="s">
        <v>1842</v>
      </c>
    </row>
    <row r="242" spans="1:4" ht="36.75" customHeight="1">
      <c r="A242" s="669"/>
      <c r="B242" s="650" t="s">
        <v>3776</v>
      </c>
      <c r="C242" s="661">
        <f>ROUND(Data!K545,2)</f>
        <v>1527.11</v>
      </c>
      <c r="D242" s="652" t="s">
        <v>1842</v>
      </c>
    </row>
    <row r="243" spans="1:4" ht="36.75" customHeight="1">
      <c r="A243" s="669"/>
      <c r="B243" s="650" t="s">
        <v>3777</v>
      </c>
      <c r="C243" s="661">
        <f>ROUND(Data!K546,2)</f>
        <v>1531.88</v>
      </c>
      <c r="D243" s="652" t="s">
        <v>1842</v>
      </c>
    </row>
    <row r="244" spans="1:4" s="663" customFormat="1" ht="36.75" customHeight="1">
      <c r="A244" s="682" t="s">
        <v>1128</v>
      </c>
      <c r="B244" s="664" t="s">
        <v>196</v>
      </c>
      <c r="C244" s="654"/>
      <c r="D244" s="652"/>
    </row>
    <row r="245" spans="1:4" s="663" customFormat="1" ht="36.75" customHeight="1">
      <c r="A245" s="650"/>
      <c r="B245" s="650" t="s">
        <v>619</v>
      </c>
      <c r="C245" s="654">
        <f>ROUND(Data!K557,2)</f>
        <v>1624.56</v>
      </c>
      <c r="D245" s="652" t="s">
        <v>1842</v>
      </c>
    </row>
    <row r="246" spans="1:4" s="663" customFormat="1" ht="36.75" customHeight="1">
      <c r="A246" s="650"/>
      <c r="B246" s="650" t="s">
        <v>620</v>
      </c>
      <c r="C246" s="654">
        <f>ROUND(Data!K559,2)</f>
        <v>1629.4</v>
      </c>
      <c r="D246" s="652" t="s">
        <v>1842</v>
      </c>
    </row>
    <row r="247" spans="1:4" s="663" customFormat="1" ht="36.75" customHeight="1">
      <c r="A247" s="650"/>
      <c r="B247" s="650" t="s">
        <v>1246</v>
      </c>
      <c r="C247" s="654">
        <f>ROUND(Data!K560,2)</f>
        <v>1638.93</v>
      </c>
      <c r="D247" s="652" t="s">
        <v>1842</v>
      </c>
    </row>
    <row r="248" spans="1:4" s="663" customFormat="1" ht="36.75" customHeight="1">
      <c r="A248" s="650"/>
      <c r="B248" s="650" t="s">
        <v>680</v>
      </c>
      <c r="C248" s="654">
        <f>ROUND(Data!K561,2)</f>
        <v>1648.46</v>
      </c>
      <c r="D248" s="652" t="s">
        <v>1842</v>
      </c>
    </row>
    <row r="249" spans="1:4" s="663" customFormat="1" ht="36.75" customHeight="1">
      <c r="A249" s="650"/>
      <c r="B249" s="650" t="s">
        <v>681</v>
      </c>
      <c r="C249" s="654">
        <f>ROUND(Data!K562,2)</f>
        <v>1657.99</v>
      </c>
      <c r="D249" s="652" t="s">
        <v>1842</v>
      </c>
    </row>
    <row r="250" spans="1:4" ht="36.75" customHeight="1">
      <c r="A250" s="669"/>
      <c r="B250" s="650" t="s">
        <v>1273</v>
      </c>
      <c r="C250" s="654">
        <f>ROUND(Data!K563,2)</f>
        <v>1667.52</v>
      </c>
      <c r="D250" s="652" t="s">
        <v>1842</v>
      </c>
    </row>
    <row r="251" spans="1:4" ht="36.75" customHeight="1">
      <c r="A251" s="649">
        <v>15.1</v>
      </c>
      <c r="B251" s="664" t="s">
        <v>1274</v>
      </c>
      <c r="C251" s="661"/>
      <c r="D251" s="652"/>
    </row>
    <row r="252" spans="1:4" ht="36.75" customHeight="1">
      <c r="A252" s="649"/>
      <c r="B252" s="650" t="s">
        <v>1252</v>
      </c>
      <c r="C252" s="661">
        <f>ROUND(Data!K590,2)</f>
        <v>556.1</v>
      </c>
      <c r="D252" s="652" t="s">
        <v>1842</v>
      </c>
    </row>
    <row r="253" spans="1:4" ht="36.75" customHeight="1">
      <c r="A253" s="649"/>
      <c r="B253" s="650" t="s">
        <v>1386</v>
      </c>
      <c r="C253" s="661">
        <f>ROUND(Data!K591,2)</f>
        <v>560.82000000000005</v>
      </c>
      <c r="D253" s="652" t="s">
        <v>1842</v>
      </c>
    </row>
    <row r="254" spans="1:4" ht="36.75" customHeight="1">
      <c r="A254" s="649"/>
      <c r="B254" s="650" t="s">
        <v>1434</v>
      </c>
      <c r="C254" s="661">
        <f>ROUND(Data!K592,2)</f>
        <v>565.54</v>
      </c>
      <c r="D254" s="652" t="s">
        <v>1842</v>
      </c>
    </row>
    <row r="255" spans="1:4" ht="36.75" customHeight="1">
      <c r="A255" s="649"/>
      <c r="B255" s="650" t="s">
        <v>1324</v>
      </c>
      <c r="C255" s="661">
        <f>ROUND(Data!K593,2)</f>
        <v>570.26</v>
      </c>
      <c r="D255" s="652" t="s">
        <v>1842</v>
      </c>
    </row>
    <row r="256" spans="1:4" ht="36.75" customHeight="1">
      <c r="A256" s="667"/>
      <c r="B256" s="650" t="s">
        <v>1078</v>
      </c>
      <c r="C256" s="661">
        <f>ROUND(Data!K594,2)</f>
        <v>574.98</v>
      </c>
      <c r="D256" s="652" t="s">
        <v>1842</v>
      </c>
    </row>
    <row r="257" spans="1:4" ht="36.75" customHeight="1">
      <c r="A257" s="649">
        <v>15.2</v>
      </c>
      <c r="B257" s="664" t="s">
        <v>2023</v>
      </c>
      <c r="C257" s="661"/>
      <c r="D257" s="652"/>
    </row>
    <row r="258" spans="1:4" ht="36.75" customHeight="1">
      <c r="A258" s="650"/>
      <c r="B258" s="650" t="s">
        <v>1252</v>
      </c>
      <c r="C258" s="661">
        <f>ROUND(Data!K612,2)</f>
        <v>2072.79</v>
      </c>
      <c r="D258" s="652" t="s">
        <v>1842</v>
      </c>
    </row>
    <row r="259" spans="1:4" ht="36.75" customHeight="1">
      <c r="A259" s="650"/>
      <c r="B259" s="650" t="s">
        <v>1386</v>
      </c>
      <c r="C259" s="661">
        <f>ROUND(Data!K613,2)</f>
        <v>2082.23</v>
      </c>
      <c r="D259" s="652" t="s">
        <v>1842</v>
      </c>
    </row>
    <row r="260" spans="1:4" ht="36.75" customHeight="1">
      <c r="A260" s="650"/>
      <c r="B260" s="650" t="s">
        <v>1434</v>
      </c>
      <c r="C260" s="661">
        <f>ROUND(Data!K614,2)</f>
        <v>2091.67</v>
      </c>
      <c r="D260" s="652" t="s">
        <v>1842</v>
      </c>
    </row>
    <row r="261" spans="1:4" ht="36.75" customHeight="1">
      <c r="A261" s="650"/>
      <c r="B261" s="650" t="s">
        <v>1324</v>
      </c>
      <c r="C261" s="661">
        <f>ROUND(Data!K615,2)</f>
        <v>2101.11</v>
      </c>
      <c r="D261" s="652" t="s">
        <v>1842</v>
      </c>
    </row>
    <row r="262" spans="1:4" ht="36.75" customHeight="1">
      <c r="A262" s="669"/>
      <c r="B262" s="650" t="s">
        <v>1078</v>
      </c>
      <c r="C262" s="661">
        <f>ROUND(Data!K616,2)</f>
        <v>2110.5500000000002</v>
      </c>
      <c r="D262" s="652" t="s">
        <v>1842</v>
      </c>
    </row>
    <row r="263" spans="1:4" s="663" customFormat="1" ht="36.75" customHeight="1">
      <c r="A263" s="649">
        <v>16.100000000000001</v>
      </c>
      <c r="B263" s="650" t="s">
        <v>6186</v>
      </c>
      <c r="C263" s="654"/>
      <c r="D263" s="652"/>
    </row>
    <row r="264" spans="1:4" s="663" customFormat="1" ht="36.75" customHeight="1">
      <c r="A264" s="649"/>
      <c r="B264" s="650" t="s">
        <v>202</v>
      </c>
      <c r="C264" s="654">
        <f>Data!K659</f>
        <v>2963.43</v>
      </c>
      <c r="D264" s="652" t="s">
        <v>1842</v>
      </c>
    </row>
    <row r="265" spans="1:4" s="663" customFormat="1" ht="36.75" customHeight="1">
      <c r="A265" s="649"/>
      <c r="B265" s="650" t="s">
        <v>1386</v>
      </c>
      <c r="C265" s="654">
        <f>ROUND(Data!K660,2)</f>
        <v>2972.32</v>
      </c>
      <c r="D265" s="652" t="s">
        <v>1842</v>
      </c>
    </row>
    <row r="266" spans="1:4" s="663" customFormat="1" ht="36.75" customHeight="1">
      <c r="A266" s="649"/>
      <c r="B266" s="650" t="s">
        <v>1434</v>
      </c>
      <c r="C266" s="654">
        <f>ROUND(Data!K661,2)</f>
        <v>2981.21</v>
      </c>
      <c r="D266" s="652" t="s">
        <v>1842</v>
      </c>
    </row>
    <row r="267" spans="1:4" s="663" customFormat="1" ht="36.75" customHeight="1">
      <c r="A267" s="649"/>
      <c r="B267" s="650" t="s">
        <v>1324</v>
      </c>
      <c r="C267" s="654">
        <f>ROUND(Data!K662,2)</f>
        <v>2990.1</v>
      </c>
      <c r="D267" s="652" t="s">
        <v>1842</v>
      </c>
    </row>
    <row r="268" spans="1:4" s="663" customFormat="1" ht="36.75" customHeight="1">
      <c r="A268" s="666"/>
      <c r="B268" s="650" t="s">
        <v>1078</v>
      </c>
      <c r="C268" s="654">
        <f>ROUND(Data!K663,2)</f>
        <v>2998.99</v>
      </c>
      <c r="D268" s="652" t="s">
        <v>1842</v>
      </c>
    </row>
    <row r="269" spans="1:4" ht="36.75" customHeight="1">
      <c r="A269" s="649">
        <v>16.2</v>
      </c>
      <c r="B269" s="650" t="s">
        <v>1247</v>
      </c>
      <c r="C269" s="661"/>
      <c r="D269" s="652"/>
    </row>
    <row r="270" spans="1:4" ht="36.75" customHeight="1">
      <c r="A270" s="650"/>
      <c r="B270" s="650" t="s">
        <v>202</v>
      </c>
      <c r="C270" s="661">
        <f>ROUND(Data!K686,2)</f>
        <v>483.95</v>
      </c>
      <c r="D270" s="652" t="s">
        <v>1842</v>
      </c>
    </row>
    <row r="271" spans="1:4" ht="36.75" customHeight="1">
      <c r="A271" s="650"/>
      <c r="B271" s="650" t="s">
        <v>203</v>
      </c>
      <c r="C271" s="661">
        <f>ROUND(Data!K687,2)</f>
        <v>491.91</v>
      </c>
      <c r="D271" s="652" t="s">
        <v>1842</v>
      </c>
    </row>
    <row r="272" spans="1:4" ht="36.75" customHeight="1">
      <c r="A272" s="650"/>
      <c r="B272" s="650" t="s">
        <v>204</v>
      </c>
      <c r="C272" s="661">
        <f>ROUND(Data!K688,2)</f>
        <v>499.87</v>
      </c>
      <c r="D272" s="652" t="s">
        <v>1842</v>
      </c>
    </row>
    <row r="273" spans="1:4" ht="36.75" customHeight="1">
      <c r="A273" s="650"/>
      <c r="B273" s="650" t="s">
        <v>205</v>
      </c>
      <c r="C273" s="661">
        <f>ROUND(Data!K689,2)</f>
        <v>507.83</v>
      </c>
      <c r="D273" s="652" t="s">
        <v>1842</v>
      </c>
    </row>
    <row r="274" spans="1:4" ht="36.75" customHeight="1">
      <c r="A274" s="669"/>
      <c r="B274" s="650" t="s">
        <v>606</v>
      </c>
      <c r="C274" s="661">
        <f>ROUND(Data!K690,2)</f>
        <v>515.79</v>
      </c>
      <c r="D274" s="652" t="s">
        <v>1842</v>
      </c>
    </row>
    <row r="275" spans="1:4" ht="36.75" customHeight="1">
      <c r="A275" s="649">
        <v>16.3</v>
      </c>
      <c r="B275" s="650" t="s">
        <v>343</v>
      </c>
      <c r="C275" s="661"/>
      <c r="D275" s="652"/>
    </row>
    <row r="276" spans="1:4" ht="36.75" customHeight="1">
      <c r="A276" s="649"/>
      <c r="B276" s="650" t="s">
        <v>202</v>
      </c>
      <c r="C276" s="661">
        <f>ROUND(Data!K706,2)</f>
        <v>658.68</v>
      </c>
      <c r="D276" s="652" t="s">
        <v>1842</v>
      </c>
    </row>
    <row r="277" spans="1:4" ht="36.75" customHeight="1">
      <c r="A277" s="649"/>
      <c r="B277" s="650" t="s">
        <v>203</v>
      </c>
      <c r="C277" s="661">
        <f>ROUND(Data!K707,2)</f>
        <v>676.19</v>
      </c>
      <c r="D277" s="652" t="s">
        <v>1842</v>
      </c>
    </row>
    <row r="278" spans="1:4" ht="36.75" customHeight="1">
      <c r="A278" s="649"/>
      <c r="B278" s="650" t="s">
        <v>204</v>
      </c>
      <c r="C278" s="661">
        <f>ROUND(Data!K708,2)</f>
        <v>693.7</v>
      </c>
      <c r="D278" s="652" t="s">
        <v>1842</v>
      </c>
    </row>
    <row r="279" spans="1:4" ht="36.75" customHeight="1">
      <c r="A279" s="650"/>
      <c r="B279" s="650" t="s">
        <v>205</v>
      </c>
      <c r="C279" s="661">
        <f>ROUND(Data!K709,2)</f>
        <v>711.21</v>
      </c>
      <c r="D279" s="652" t="s">
        <v>1842</v>
      </c>
    </row>
    <row r="280" spans="1:4" ht="36.75" customHeight="1">
      <c r="A280" s="669"/>
      <c r="B280" s="650" t="s">
        <v>606</v>
      </c>
      <c r="C280" s="661">
        <f>ROUND(Data!K710,2)</f>
        <v>728.72</v>
      </c>
      <c r="D280" s="652" t="s">
        <v>1842</v>
      </c>
    </row>
    <row r="281" spans="1:4" ht="36.75" customHeight="1">
      <c r="A281" s="649">
        <v>17</v>
      </c>
      <c r="B281" s="650" t="s">
        <v>6187</v>
      </c>
      <c r="C281" s="661"/>
      <c r="D281" s="652" t="s">
        <v>1842</v>
      </c>
    </row>
    <row r="282" spans="1:4" ht="36.75" customHeight="1">
      <c r="A282" s="649">
        <v>18</v>
      </c>
      <c r="B282" s="650" t="s">
        <v>6188</v>
      </c>
      <c r="C282" s="661"/>
      <c r="D282" s="652" t="s">
        <v>1842</v>
      </c>
    </row>
    <row r="283" spans="1:4" ht="36.75" customHeight="1">
      <c r="A283" s="649">
        <v>19</v>
      </c>
      <c r="B283" s="650" t="s">
        <v>6189</v>
      </c>
      <c r="C283" s="661"/>
      <c r="D283" s="652" t="s">
        <v>1842</v>
      </c>
    </row>
    <row r="284" spans="1:4" ht="36.75" customHeight="1">
      <c r="A284" s="649">
        <v>20</v>
      </c>
      <c r="B284" s="650" t="s">
        <v>1584</v>
      </c>
      <c r="C284" s="661"/>
      <c r="D284" s="652" t="s">
        <v>1842</v>
      </c>
    </row>
    <row r="285" spans="1:4" ht="36.75" customHeight="1">
      <c r="A285" s="649">
        <v>21.1</v>
      </c>
      <c r="B285" s="664" t="s">
        <v>1826</v>
      </c>
      <c r="C285" s="661"/>
      <c r="D285" s="652"/>
    </row>
    <row r="286" spans="1:4" ht="36.75" customHeight="1">
      <c r="A286" s="649"/>
      <c r="B286" s="650" t="s">
        <v>573</v>
      </c>
      <c r="C286" s="661">
        <f>ROUND(Data!K889,2)</f>
        <v>2773.04</v>
      </c>
      <c r="D286" s="652" t="s">
        <v>1398</v>
      </c>
    </row>
    <row r="287" spans="1:4" ht="36.75" customHeight="1">
      <c r="A287" s="649"/>
      <c r="B287" s="650" t="s">
        <v>1903</v>
      </c>
      <c r="C287" s="661">
        <f>ROUND(Data!K905,2)</f>
        <v>2735.69</v>
      </c>
      <c r="D287" s="652" t="s">
        <v>1398</v>
      </c>
    </row>
    <row r="288" spans="1:4" ht="36.75" customHeight="1">
      <c r="A288" s="667"/>
      <c r="B288" s="650" t="s">
        <v>1904</v>
      </c>
      <c r="C288" s="661">
        <f>ROUND(Data!K871,2)</f>
        <v>2794.93</v>
      </c>
      <c r="D288" s="652" t="s">
        <v>1398</v>
      </c>
    </row>
    <row r="289" spans="1:4" ht="36.75" customHeight="1">
      <c r="A289" s="649">
        <v>21.2</v>
      </c>
      <c r="B289" s="664" t="s">
        <v>2058</v>
      </c>
      <c r="C289" s="654"/>
      <c r="D289" s="652"/>
    </row>
    <row r="290" spans="1:4" ht="36.75" customHeight="1">
      <c r="A290" s="649"/>
      <c r="B290" s="650" t="s">
        <v>1783</v>
      </c>
      <c r="C290" s="654">
        <f>ROUND(Data!K923,2)</f>
        <v>125290</v>
      </c>
      <c r="D290" s="652" t="s">
        <v>1197</v>
      </c>
    </row>
    <row r="291" spans="1:4" ht="36.75" customHeight="1">
      <c r="A291" s="666"/>
      <c r="B291" s="650" t="s">
        <v>1784</v>
      </c>
      <c r="C291" s="654">
        <f>ROUND(Data!K930,2)</f>
        <v>113090</v>
      </c>
      <c r="D291" s="652" t="s">
        <v>1197</v>
      </c>
    </row>
    <row r="292" spans="1:4" ht="36.75" customHeight="1">
      <c r="A292" s="649">
        <v>21.3</v>
      </c>
      <c r="B292" s="650" t="s">
        <v>1785</v>
      </c>
      <c r="C292" s="661">
        <f>ROUND(Data!K912,2)</f>
        <v>2135</v>
      </c>
      <c r="D292" s="652" t="s">
        <v>1842</v>
      </c>
    </row>
    <row r="293" spans="1:4" ht="36.75" customHeight="1">
      <c r="A293" s="649">
        <v>22.1</v>
      </c>
      <c r="B293" s="650" t="s">
        <v>1366</v>
      </c>
      <c r="C293" s="661"/>
      <c r="D293" s="652"/>
    </row>
    <row r="294" spans="1:4" ht="36.75" customHeight="1">
      <c r="A294" s="650"/>
      <c r="B294" s="650" t="s">
        <v>389</v>
      </c>
      <c r="C294" s="661">
        <f>ROUND(Data!K964,2)</f>
        <v>5030.8599999999997</v>
      </c>
      <c r="D294" s="652" t="s">
        <v>1842</v>
      </c>
    </row>
    <row r="295" spans="1:4" ht="36.75" customHeight="1">
      <c r="A295" s="650"/>
      <c r="B295" s="650" t="s">
        <v>2056</v>
      </c>
      <c r="C295" s="661">
        <f>ROUND(Data!K1000,2)</f>
        <v>5046.57</v>
      </c>
      <c r="D295" s="652" t="s">
        <v>1842</v>
      </c>
    </row>
    <row r="296" spans="1:4" ht="36.75" customHeight="1">
      <c r="A296" s="669"/>
      <c r="B296" s="650" t="s">
        <v>2057</v>
      </c>
      <c r="C296" s="661">
        <f>ROUND(Data!K1030,2)</f>
        <v>5071.24</v>
      </c>
      <c r="D296" s="652" t="s">
        <v>1842</v>
      </c>
    </row>
    <row r="297" spans="1:4" ht="36.75" customHeight="1">
      <c r="A297" s="669"/>
      <c r="B297" s="650" t="s">
        <v>1677</v>
      </c>
      <c r="C297" s="661">
        <f>Data!R2834</f>
        <v>6050.31</v>
      </c>
      <c r="D297" s="652" t="s">
        <v>1842</v>
      </c>
    </row>
    <row r="298" spans="1:4" ht="36.75" customHeight="1">
      <c r="A298" s="649">
        <v>22.2</v>
      </c>
      <c r="B298" s="664" t="s">
        <v>479</v>
      </c>
      <c r="C298" s="661"/>
      <c r="D298" s="652"/>
    </row>
    <row r="299" spans="1:4" ht="36.75" customHeight="1">
      <c r="A299" s="650"/>
      <c r="B299" s="650" t="s">
        <v>1367</v>
      </c>
      <c r="C299" s="661">
        <f>ROUND(Data!K1081,2)</f>
        <v>3597.23</v>
      </c>
      <c r="D299" s="652" t="s">
        <v>1842</v>
      </c>
    </row>
    <row r="300" spans="1:4" ht="36.75" customHeight="1">
      <c r="A300" s="650"/>
      <c r="B300" s="650" t="s">
        <v>270</v>
      </c>
      <c r="C300" s="661"/>
      <c r="D300" s="652" t="s">
        <v>1842</v>
      </c>
    </row>
    <row r="301" spans="1:4" ht="36.75" customHeight="1">
      <c r="A301" s="650"/>
      <c r="B301" s="650" t="s">
        <v>271</v>
      </c>
      <c r="C301" s="661">
        <f>ROUND(Data!K1097,2)</f>
        <v>3796.08</v>
      </c>
      <c r="D301" s="652" t="s">
        <v>1842</v>
      </c>
    </row>
    <row r="302" spans="1:4" ht="36.75" customHeight="1">
      <c r="A302" s="669"/>
      <c r="B302" s="650" t="s">
        <v>272</v>
      </c>
      <c r="C302" s="661">
        <f>ROUND(Data!K1112,2)</f>
        <v>2804.85</v>
      </c>
      <c r="D302" s="652" t="s">
        <v>1842</v>
      </c>
    </row>
    <row r="303" spans="1:4" ht="36.75" customHeight="1">
      <c r="A303" s="649">
        <v>22.3</v>
      </c>
      <c r="B303" s="650" t="s">
        <v>1974</v>
      </c>
      <c r="C303" s="661"/>
      <c r="D303" s="652" t="s">
        <v>1842</v>
      </c>
    </row>
    <row r="304" spans="1:4" ht="36.75" customHeight="1">
      <c r="A304" s="649">
        <v>23.1</v>
      </c>
      <c r="B304" s="650" t="s">
        <v>1</v>
      </c>
      <c r="C304" s="661"/>
      <c r="D304" s="652" t="s">
        <v>1842</v>
      </c>
    </row>
    <row r="305" spans="1:4" ht="36.75" customHeight="1">
      <c r="A305" s="669"/>
      <c r="B305" s="650" t="s">
        <v>573</v>
      </c>
      <c r="C305" s="661">
        <f>ROUND(Data!K1066,2)</f>
        <v>3632.18</v>
      </c>
      <c r="D305" s="652" t="s">
        <v>1842</v>
      </c>
    </row>
    <row r="306" spans="1:4" ht="36.75" customHeight="1">
      <c r="A306" s="649">
        <v>23.2</v>
      </c>
      <c r="B306" s="650" t="s">
        <v>1710</v>
      </c>
      <c r="C306" s="661">
        <f>ROUND(Data!K1185,2)</f>
        <v>835.7</v>
      </c>
      <c r="D306" s="652" t="s">
        <v>1842</v>
      </c>
    </row>
    <row r="307" spans="1:4" s="663" customFormat="1" ht="36.75" customHeight="1">
      <c r="A307" s="649">
        <v>23.3</v>
      </c>
      <c r="B307" s="650" t="s">
        <v>572</v>
      </c>
      <c r="C307" s="654">
        <f>Data!K1170</f>
        <v>52</v>
      </c>
      <c r="D307" s="652" t="s">
        <v>1398</v>
      </c>
    </row>
    <row r="308" spans="1:4" ht="36.75" customHeight="1">
      <c r="A308" s="649">
        <v>23.4</v>
      </c>
      <c r="B308" s="650" t="s">
        <v>1700</v>
      </c>
      <c r="C308" s="661"/>
      <c r="D308" s="652"/>
    </row>
    <row r="309" spans="1:4" ht="36.75" customHeight="1">
      <c r="A309" s="650"/>
      <c r="B309" s="650" t="s">
        <v>419</v>
      </c>
      <c r="C309" s="661">
        <f>Data!X1399</f>
        <v>16131.07</v>
      </c>
      <c r="D309" s="652" t="s">
        <v>1398</v>
      </c>
    </row>
    <row r="310" spans="1:4" ht="36.75" customHeight="1">
      <c r="A310" s="650"/>
      <c r="B310" s="650" t="s">
        <v>420</v>
      </c>
      <c r="C310" s="661">
        <f>Data!R1404</f>
        <v>12157.16</v>
      </c>
      <c r="D310" s="652" t="s">
        <v>1398</v>
      </c>
    </row>
    <row r="311" spans="1:4" ht="36.75" customHeight="1">
      <c r="A311" s="650"/>
      <c r="B311" s="650" t="s">
        <v>178</v>
      </c>
      <c r="C311" s="661">
        <f>Data!X1365</f>
        <v>10349.34</v>
      </c>
      <c r="D311" s="652" t="s">
        <v>1398</v>
      </c>
    </row>
    <row r="312" spans="1:4" ht="36.75" customHeight="1">
      <c r="A312" s="650"/>
      <c r="B312" s="650" t="s">
        <v>363</v>
      </c>
      <c r="C312" s="661">
        <f>Data!R1421</f>
        <v>9698.5400000000009</v>
      </c>
      <c r="D312" s="652" t="s">
        <v>1398</v>
      </c>
    </row>
    <row r="313" spans="1:4" ht="36.75" customHeight="1">
      <c r="A313" s="650"/>
      <c r="B313" s="650" t="s">
        <v>2051</v>
      </c>
      <c r="C313" s="661">
        <f>Data!X1463</f>
        <v>8046.21</v>
      </c>
      <c r="D313" s="652" t="s">
        <v>1398</v>
      </c>
    </row>
    <row r="314" spans="1:4" ht="36.75" customHeight="1">
      <c r="A314" s="650"/>
      <c r="B314" s="650" t="s">
        <v>2052</v>
      </c>
      <c r="C314" s="661">
        <f>Data!AD1380</f>
        <v>8939.34</v>
      </c>
      <c r="D314" s="652" t="s">
        <v>1398</v>
      </c>
    </row>
    <row r="315" spans="1:4" ht="36.75" customHeight="1">
      <c r="A315" s="650"/>
      <c r="B315" s="650" t="s">
        <v>1327</v>
      </c>
      <c r="C315" s="661">
        <f>Data!X1382</f>
        <v>8175.11</v>
      </c>
      <c r="D315" s="652" t="s">
        <v>1398</v>
      </c>
    </row>
    <row r="316" spans="1:4" ht="36.75" customHeight="1">
      <c r="A316" s="650"/>
      <c r="B316" s="650" t="s">
        <v>1328</v>
      </c>
      <c r="C316" s="661">
        <f>Data!AD1363</f>
        <v>6960.5</v>
      </c>
      <c r="D316" s="652" t="s">
        <v>1398</v>
      </c>
    </row>
    <row r="317" spans="1:4" ht="36.75" customHeight="1">
      <c r="A317" s="650"/>
      <c r="B317" s="650" t="s">
        <v>165</v>
      </c>
      <c r="C317" s="661">
        <f>Data!AD1397</f>
        <v>4449.66</v>
      </c>
      <c r="D317" s="652" t="s">
        <v>1398</v>
      </c>
    </row>
    <row r="318" spans="1:4" ht="36.75" customHeight="1">
      <c r="A318" s="650"/>
      <c r="B318" s="650" t="s">
        <v>166</v>
      </c>
      <c r="C318" s="661">
        <f>Data!R1438</f>
        <v>4196.8900000000003</v>
      </c>
      <c r="D318" s="652" t="s">
        <v>1398</v>
      </c>
    </row>
    <row r="319" spans="1:4" ht="36.75" customHeight="1">
      <c r="A319" s="650"/>
      <c r="B319" s="650" t="s">
        <v>2029</v>
      </c>
      <c r="C319" s="661">
        <f>Data!R1479</f>
        <v>5115.5600000000004</v>
      </c>
      <c r="D319" s="652" t="s">
        <v>1398</v>
      </c>
    </row>
    <row r="320" spans="1:4" ht="36.75" customHeight="1">
      <c r="A320" s="669"/>
      <c r="B320" s="650" t="s">
        <v>1365</v>
      </c>
      <c r="C320" s="661">
        <f>Data!X1440</f>
        <v>5680.39</v>
      </c>
      <c r="D320" s="652" t="s">
        <v>1398</v>
      </c>
    </row>
    <row r="321" spans="1:4" s="660" customFormat="1" ht="36.75" customHeight="1">
      <c r="A321" s="656">
        <v>24</v>
      </c>
      <c r="B321" s="657" t="s">
        <v>179</v>
      </c>
      <c r="C321" s="658">
        <f>Data!K1191</f>
        <v>69.599999999999994</v>
      </c>
      <c r="D321" s="659" t="s">
        <v>268</v>
      </c>
    </row>
    <row r="322" spans="1:4" ht="36.75" customHeight="1">
      <c r="A322" s="649">
        <v>25</v>
      </c>
      <c r="B322" s="650" t="s">
        <v>180</v>
      </c>
      <c r="C322" s="654">
        <f>ROUND(Data!K1194,2)</f>
        <v>9.6</v>
      </c>
      <c r="D322" s="652" t="s">
        <v>1398</v>
      </c>
    </row>
    <row r="323" spans="1:4" ht="36.75" customHeight="1">
      <c r="A323" s="649">
        <v>26</v>
      </c>
      <c r="B323" s="650" t="s">
        <v>181</v>
      </c>
      <c r="C323" s="654">
        <f>ROUND(Data!K204,2)</f>
        <v>4941.53</v>
      </c>
      <c r="D323" s="652" t="s">
        <v>1197</v>
      </c>
    </row>
    <row r="324" spans="1:4" ht="36.75" customHeight="1">
      <c r="A324" s="649">
        <v>27.1</v>
      </c>
      <c r="B324" s="650" t="s">
        <v>305</v>
      </c>
      <c r="C324" s="661">
        <f>ROUND(Data!Y368,2)</f>
        <v>7132.06</v>
      </c>
      <c r="D324" s="652" t="s">
        <v>1197</v>
      </c>
    </row>
    <row r="325" spans="1:4" ht="36.75" customHeight="1">
      <c r="A325" s="649">
        <v>27.2</v>
      </c>
      <c r="B325" s="650" t="s">
        <v>2788</v>
      </c>
      <c r="C325" s="661">
        <f>ROUND(Data!AG381,2)</f>
        <v>6937.04</v>
      </c>
      <c r="D325" s="652" t="s">
        <v>1197</v>
      </c>
    </row>
    <row r="326" spans="1:4" ht="36.75" customHeight="1">
      <c r="A326" s="649">
        <v>27.3</v>
      </c>
      <c r="B326" s="650" t="s">
        <v>920</v>
      </c>
      <c r="C326" s="661"/>
      <c r="D326" s="652" t="s">
        <v>1197</v>
      </c>
    </row>
    <row r="327" spans="1:4" ht="36.75" customHeight="1">
      <c r="A327" s="649">
        <v>27.4</v>
      </c>
      <c r="B327" s="650" t="s">
        <v>169</v>
      </c>
      <c r="C327" s="661"/>
      <c r="D327" s="652" t="s">
        <v>1197</v>
      </c>
    </row>
    <row r="328" spans="1:4" ht="36.75" customHeight="1">
      <c r="A328" s="649">
        <v>27.5</v>
      </c>
      <c r="B328" s="650" t="s">
        <v>1505</v>
      </c>
      <c r="C328" s="661">
        <f>ROUND(Data!K372,2)</f>
        <v>7007.3</v>
      </c>
      <c r="D328" s="652" t="s">
        <v>1197</v>
      </c>
    </row>
    <row r="329" spans="1:4" ht="36.75" customHeight="1">
      <c r="A329" s="649">
        <v>27.6</v>
      </c>
      <c r="B329" s="650" t="s">
        <v>1701</v>
      </c>
      <c r="C329" s="661"/>
      <c r="D329" s="652" t="s">
        <v>1197</v>
      </c>
    </row>
    <row r="330" spans="1:4" ht="36.75" customHeight="1">
      <c r="A330" s="649">
        <v>28</v>
      </c>
      <c r="B330" s="664" t="s">
        <v>6190</v>
      </c>
      <c r="C330" s="654">
        <f>ROUND(Data!K1213,2)</f>
        <v>512.41</v>
      </c>
      <c r="D330" s="652" t="s">
        <v>1842</v>
      </c>
    </row>
    <row r="331" spans="1:4" ht="36.75" customHeight="1">
      <c r="A331" s="649">
        <v>29.1</v>
      </c>
      <c r="B331" s="664" t="s">
        <v>6191</v>
      </c>
      <c r="C331" s="661"/>
      <c r="D331" s="652" t="s">
        <v>1842</v>
      </c>
    </row>
    <row r="332" spans="1:4" ht="36.75" customHeight="1">
      <c r="A332" s="649">
        <v>29.2</v>
      </c>
      <c r="B332" s="664" t="s">
        <v>6192</v>
      </c>
      <c r="C332" s="661">
        <f>ROUND(Data!K1241,2)</f>
        <v>1231.97</v>
      </c>
      <c r="D332" s="652" t="s">
        <v>1842</v>
      </c>
    </row>
    <row r="333" spans="1:4" ht="36.75" customHeight="1">
      <c r="A333" s="649">
        <v>29.3</v>
      </c>
      <c r="B333" s="650" t="s">
        <v>1702</v>
      </c>
      <c r="C333" s="661">
        <f>ROUND(Data!K1264,2)</f>
        <v>1210.57</v>
      </c>
      <c r="D333" s="652" t="s">
        <v>1842</v>
      </c>
    </row>
    <row r="334" spans="1:4" ht="36.75" customHeight="1">
      <c r="A334" s="649">
        <v>29.4</v>
      </c>
      <c r="B334" s="650" t="s">
        <v>1703</v>
      </c>
      <c r="C334" s="661">
        <f>ROUND(Data!K1278,2)</f>
        <v>1376.6</v>
      </c>
      <c r="D334" s="652" t="s">
        <v>1842</v>
      </c>
    </row>
    <row r="335" spans="1:4" ht="36.75" customHeight="1">
      <c r="A335" s="649">
        <v>29.5</v>
      </c>
      <c r="B335" s="650" t="s">
        <v>841</v>
      </c>
      <c r="C335" s="661">
        <f>C333</f>
        <v>1210.57</v>
      </c>
      <c r="D335" s="652" t="s">
        <v>1842</v>
      </c>
    </row>
    <row r="336" spans="1:4" ht="36.75" customHeight="1">
      <c r="A336" s="649">
        <v>30</v>
      </c>
      <c r="B336" s="650" t="s">
        <v>1704</v>
      </c>
      <c r="C336" s="654">
        <f>ROUND(Data!K1312,2)</f>
        <v>448.07</v>
      </c>
      <c r="D336" s="652" t="s">
        <v>1842</v>
      </c>
    </row>
    <row r="337" spans="1:4" ht="36.75" customHeight="1">
      <c r="A337" s="649">
        <v>31</v>
      </c>
      <c r="B337" s="650" t="s">
        <v>1705</v>
      </c>
      <c r="C337" s="654">
        <f>ROUND('Print Data'!F681,2)</f>
        <v>3620.05</v>
      </c>
      <c r="D337" s="652" t="s">
        <v>1197</v>
      </c>
    </row>
    <row r="338" spans="1:4" ht="36.75" customHeight="1">
      <c r="A338" s="649">
        <v>32</v>
      </c>
      <c r="B338" s="650" t="s">
        <v>562</v>
      </c>
      <c r="C338" s="661"/>
      <c r="D338" s="652" t="s">
        <v>1842</v>
      </c>
    </row>
    <row r="339" spans="1:4" ht="36.75" customHeight="1">
      <c r="A339" s="649">
        <v>32.1</v>
      </c>
      <c r="B339" s="650" t="s">
        <v>853</v>
      </c>
      <c r="C339" s="661">
        <f>ROUND(Data!K1365,2)</f>
        <v>1192.5999999999999</v>
      </c>
      <c r="D339" s="652" t="s">
        <v>1842</v>
      </c>
    </row>
    <row r="340" spans="1:4" ht="36.75" customHeight="1">
      <c r="A340" s="649">
        <v>32.200000000000003</v>
      </c>
      <c r="B340" s="650" t="s">
        <v>852</v>
      </c>
      <c r="C340" s="661"/>
      <c r="D340" s="652" t="s">
        <v>1842</v>
      </c>
    </row>
    <row r="341" spans="1:4" ht="36.75" customHeight="1">
      <c r="A341" s="649">
        <v>33</v>
      </c>
      <c r="B341" s="650" t="s">
        <v>1006</v>
      </c>
      <c r="C341" s="654">
        <f>ROUND(Data!K1400,2)</f>
        <v>252.04</v>
      </c>
      <c r="D341" s="652" t="s">
        <v>1842</v>
      </c>
    </row>
    <row r="342" spans="1:4" ht="36.75" customHeight="1">
      <c r="A342" s="649">
        <v>34</v>
      </c>
      <c r="B342" s="650" t="s">
        <v>1007</v>
      </c>
      <c r="C342" s="654">
        <f>ROUND(Data!K1414,2)</f>
        <v>258.13</v>
      </c>
      <c r="D342" s="652" t="s">
        <v>1842</v>
      </c>
    </row>
    <row r="343" spans="1:4" ht="36.75" customHeight="1">
      <c r="A343" s="649">
        <v>35</v>
      </c>
      <c r="B343" s="650" t="s">
        <v>936</v>
      </c>
      <c r="C343" s="654">
        <f>ROUND(Data!K1426,2)</f>
        <v>287.81</v>
      </c>
      <c r="D343" s="652" t="s">
        <v>1842</v>
      </c>
    </row>
    <row r="344" spans="1:4" ht="36.75" customHeight="1">
      <c r="A344" s="649">
        <v>36</v>
      </c>
      <c r="B344" s="664" t="s">
        <v>1725</v>
      </c>
      <c r="C344" s="654"/>
      <c r="D344" s="652"/>
    </row>
    <row r="345" spans="1:4" ht="36.75" customHeight="1">
      <c r="A345" s="650" t="s">
        <v>975</v>
      </c>
      <c r="B345" s="650" t="s">
        <v>1462</v>
      </c>
      <c r="C345" s="654">
        <f>ROUND(Data!K1460,2)</f>
        <v>80.56</v>
      </c>
      <c r="D345" s="652" t="s">
        <v>826</v>
      </c>
    </row>
    <row r="346" spans="1:4" ht="36.75" customHeight="1">
      <c r="A346" s="650"/>
      <c r="B346" s="650" t="s">
        <v>1944</v>
      </c>
      <c r="C346" s="654">
        <f>ROUND(Data!K1472,2)</f>
        <v>52.46</v>
      </c>
      <c r="D346" s="652" t="s">
        <v>826</v>
      </c>
    </row>
    <row r="347" spans="1:4" ht="36.75" customHeight="1">
      <c r="A347" s="661"/>
      <c r="B347" s="650" t="s">
        <v>1945</v>
      </c>
      <c r="C347" s="654">
        <f>ROUND(Data!K1485,2)</f>
        <v>39.06</v>
      </c>
      <c r="D347" s="652" t="s">
        <v>826</v>
      </c>
    </row>
    <row r="348" spans="1:4" ht="36.75" customHeight="1">
      <c r="A348" s="649">
        <v>37.1</v>
      </c>
      <c r="B348" s="650" t="s">
        <v>6193</v>
      </c>
      <c r="C348" s="654">
        <f>ROUND(Data!K1498,2)</f>
        <v>45.28</v>
      </c>
      <c r="D348" s="652" t="s">
        <v>1842</v>
      </c>
    </row>
    <row r="349" spans="1:4" ht="36.75" customHeight="1">
      <c r="A349" s="649">
        <v>37.200000000000003</v>
      </c>
      <c r="B349" s="650" t="s">
        <v>6194</v>
      </c>
      <c r="C349" s="661">
        <f>Data!R407</f>
        <v>50.33</v>
      </c>
      <c r="D349" s="652" t="s">
        <v>1842</v>
      </c>
    </row>
    <row r="350" spans="1:4" ht="36.75" customHeight="1">
      <c r="A350" s="649">
        <v>38.1</v>
      </c>
      <c r="B350" s="650" t="s">
        <v>1946</v>
      </c>
      <c r="C350" s="661">
        <f>ROUND(Data!K1513,2)</f>
        <v>196.76</v>
      </c>
      <c r="D350" s="652" t="s">
        <v>1842</v>
      </c>
    </row>
    <row r="351" spans="1:4" ht="36.75" customHeight="1">
      <c r="A351" s="649">
        <v>38.200000000000003</v>
      </c>
      <c r="B351" s="650" t="s">
        <v>31</v>
      </c>
      <c r="C351" s="661">
        <f>ROUND(Data!K1526,2)</f>
        <v>163.93</v>
      </c>
      <c r="D351" s="652" t="s">
        <v>1842</v>
      </c>
    </row>
    <row r="352" spans="1:4" ht="36.75" customHeight="1">
      <c r="A352" s="649">
        <v>39</v>
      </c>
      <c r="B352" s="650" t="s">
        <v>1947</v>
      </c>
      <c r="C352" s="654">
        <f>Data!K1193</f>
        <v>70.150000000000006</v>
      </c>
      <c r="D352" s="652" t="s">
        <v>268</v>
      </c>
    </row>
    <row r="353" spans="1:4" ht="36.75" customHeight="1">
      <c r="A353" s="649">
        <v>40</v>
      </c>
      <c r="B353" s="650" t="s">
        <v>2040</v>
      </c>
      <c r="C353" s="654">
        <f>ROUND(Data!K1540,2)</f>
        <v>233.74</v>
      </c>
      <c r="D353" s="652" t="s">
        <v>1842</v>
      </c>
    </row>
    <row r="354" spans="1:4" ht="36.75" customHeight="1">
      <c r="A354" s="649">
        <v>41</v>
      </c>
      <c r="B354" s="650" t="s">
        <v>1948</v>
      </c>
      <c r="C354" s="654">
        <f>ROUND(Data!K1553,2)</f>
        <v>138.35</v>
      </c>
      <c r="D354" s="652" t="s">
        <v>1842</v>
      </c>
    </row>
    <row r="355" spans="1:4" ht="36.75" customHeight="1">
      <c r="A355" s="649">
        <v>42</v>
      </c>
      <c r="B355" s="650" t="s">
        <v>6195</v>
      </c>
      <c r="C355" s="661"/>
      <c r="D355" s="652"/>
    </row>
    <row r="356" spans="1:4" ht="36.75" customHeight="1">
      <c r="A356" s="650"/>
      <c r="B356" s="650" t="s">
        <v>2060</v>
      </c>
      <c r="C356" s="661">
        <f>ROUND(Data!K1582,2)</f>
        <v>90882</v>
      </c>
      <c r="D356" s="652" t="s">
        <v>528</v>
      </c>
    </row>
    <row r="357" spans="1:4" ht="36.75" customHeight="1">
      <c r="A357" s="669"/>
      <c r="B357" s="650" t="s">
        <v>2061</v>
      </c>
      <c r="C357" s="661">
        <f>ROUND(Data!K1595,2)</f>
        <v>90882</v>
      </c>
      <c r="D357" s="652" t="s">
        <v>528</v>
      </c>
    </row>
    <row r="358" spans="1:4" ht="36.75" customHeight="1">
      <c r="A358" s="649">
        <v>43</v>
      </c>
      <c r="B358" s="650" t="s">
        <v>6196</v>
      </c>
      <c r="C358" s="661"/>
      <c r="D358" s="652"/>
    </row>
    <row r="359" spans="1:4" ht="36.75" customHeight="1">
      <c r="A359" s="650"/>
      <c r="B359" s="650" t="s">
        <v>2060</v>
      </c>
      <c r="C359" s="661">
        <f>ROUND(Data!K1608,2)</f>
        <v>88873.5</v>
      </c>
      <c r="D359" s="652" t="s">
        <v>528</v>
      </c>
    </row>
    <row r="360" spans="1:4" ht="36.75" customHeight="1">
      <c r="A360" s="669"/>
      <c r="B360" s="650" t="s">
        <v>2061</v>
      </c>
      <c r="C360" s="661">
        <f>ROUND(Data!K1620,2)</f>
        <v>88873.5</v>
      </c>
      <c r="D360" s="652" t="s">
        <v>528</v>
      </c>
    </row>
    <row r="361" spans="1:4" ht="36.75" customHeight="1">
      <c r="A361" s="649">
        <v>44.1</v>
      </c>
      <c r="B361" s="650" t="s">
        <v>6197</v>
      </c>
      <c r="C361" s="661">
        <f>ROUND(Data!K1638,2)</f>
        <v>343.11</v>
      </c>
      <c r="D361" s="652" t="s">
        <v>826</v>
      </c>
    </row>
    <row r="362" spans="1:4" ht="36.75" customHeight="1">
      <c r="A362" s="649">
        <v>44.2</v>
      </c>
      <c r="B362" s="650" t="s">
        <v>854</v>
      </c>
      <c r="C362" s="661"/>
      <c r="D362" s="652" t="s">
        <v>1398</v>
      </c>
    </row>
    <row r="363" spans="1:4" s="660" customFormat="1" ht="36.75" customHeight="1">
      <c r="A363" s="656">
        <v>45</v>
      </c>
      <c r="B363" s="665" t="s">
        <v>6198</v>
      </c>
      <c r="C363" s="658">
        <f>ROUND(Data!K1653,2)</f>
        <v>319.77</v>
      </c>
      <c r="D363" s="659" t="s">
        <v>1842</v>
      </c>
    </row>
    <row r="364" spans="1:4" ht="36.75" customHeight="1">
      <c r="A364" s="649">
        <v>46</v>
      </c>
      <c r="B364" s="650" t="s">
        <v>763</v>
      </c>
      <c r="C364" s="654">
        <f>ROUND(Data!K1670,2)</f>
        <v>58</v>
      </c>
      <c r="D364" s="652" t="s">
        <v>826</v>
      </c>
    </row>
    <row r="365" spans="1:4" ht="36.75" customHeight="1">
      <c r="A365" s="649">
        <v>47</v>
      </c>
      <c r="B365" s="650" t="s">
        <v>919</v>
      </c>
      <c r="C365" s="654">
        <f>ROUND(Data!K1682,2)</f>
        <v>95</v>
      </c>
      <c r="D365" s="652" t="s">
        <v>1398</v>
      </c>
    </row>
    <row r="366" spans="1:4" ht="36.75" customHeight="1">
      <c r="A366" s="649">
        <v>48</v>
      </c>
      <c r="B366" s="650" t="s">
        <v>1839</v>
      </c>
      <c r="C366" s="654">
        <f>ROUND(Data!K1690,2)</f>
        <v>55</v>
      </c>
      <c r="D366" s="652" t="s">
        <v>1398</v>
      </c>
    </row>
    <row r="367" spans="1:4" ht="36.75" customHeight="1">
      <c r="A367" s="649">
        <v>49</v>
      </c>
      <c r="B367" s="650" t="s">
        <v>1840</v>
      </c>
      <c r="C367" s="654">
        <f>ROUND(Data!K1697,2)</f>
        <v>1.5</v>
      </c>
      <c r="D367" s="652" t="s">
        <v>1398</v>
      </c>
    </row>
    <row r="368" spans="1:4" ht="36.75" customHeight="1">
      <c r="A368" s="649">
        <v>50.1</v>
      </c>
      <c r="B368" s="650" t="s">
        <v>1841</v>
      </c>
      <c r="C368" s="661"/>
      <c r="D368" s="652" t="s">
        <v>1842</v>
      </c>
    </row>
    <row r="369" spans="1:4" ht="36.75" customHeight="1">
      <c r="A369" s="649">
        <v>50.2</v>
      </c>
      <c r="B369" s="650" t="s">
        <v>290</v>
      </c>
      <c r="C369" s="654">
        <f>ROUND(Data!K1746,2)</f>
        <v>268.25</v>
      </c>
      <c r="D369" s="652" t="s">
        <v>826</v>
      </c>
    </row>
    <row r="370" spans="1:4" ht="36.75" customHeight="1">
      <c r="A370" s="649">
        <v>50.3</v>
      </c>
      <c r="B370" s="650" t="s">
        <v>2193</v>
      </c>
      <c r="C370" s="654">
        <f>ROUND(Data!K1762,2)</f>
        <v>365.83</v>
      </c>
      <c r="D370" s="652" t="s">
        <v>1398</v>
      </c>
    </row>
    <row r="371" spans="1:4" ht="36.75" customHeight="1">
      <c r="A371" s="649">
        <v>50.4</v>
      </c>
      <c r="B371" s="650" t="s">
        <v>2194</v>
      </c>
      <c r="C371" s="654">
        <f>ROUND(Data!K1775,2)</f>
        <v>884.89</v>
      </c>
      <c r="D371" s="652" t="s">
        <v>1398</v>
      </c>
    </row>
    <row r="372" spans="1:4" ht="36.75" customHeight="1">
      <c r="A372" s="649">
        <v>50.5</v>
      </c>
      <c r="B372" s="650" t="s">
        <v>391</v>
      </c>
      <c r="C372" s="654">
        <f>ROUND(Data!K1790,2)</f>
        <v>11889.9</v>
      </c>
      <c r="D372" s="652" t="s">
        <v>1398</v>
      </c>
    </row>
    <row r="373" spans="1:4" ht="36.75" customHeight="1">
      <c r="A373" s="649">
        <v>51</v>
      </c>
      <c r="B373" s="650" t="s">
        <v>244</v>
      </c>
      <c r="C373" s="661">
        <f>ROUND(Data!K1796,2)</f>
        <v>7035</v>
      </c>
      <c r="D373" s="652" t="s">
        <v>1398</v>
      </c>
    </row>
    <row r="374" spans="1:4" s="674" customFormat="1" ht="36.75" customHeight="1">
      <c r="A374" s="656">
        <v>52</v>
      </c>
      <c r="B374" s="665" t="s">
        <v>245</v>
      </c>
      <c r="C374" s="658"/>
      <c r="D374" s="659"/>
    </row>
    <row r="375" spans="1:4" s="674" customFormat="1" ht="36.75" customHeight="1">
      <c r="A375" s="657"/>
      <c r="B375" s="657" t="s">
        <v>46</v>
      </c>
      <c r="C375" s="658">
        <f>ROUND(Data!K1890,2)</f>
        <v>252.01</v>
      </c>
      <c r="D375" s="659" t="s">
        <v>826</v>
      </c>
    </row>
    <row r="376" spans="1:4" s="674" customFormat="1" ht="36.75" customHeight="1">
      <c r="A376" s="657"/>
      <c r="B376" s="657" t="s">
        <v>47</v>
      </c>
      <c r="C376" s="658">
        <f>ROUND(Data!K1882,2)</f>
        <v>234.4</v>
      </c>
      <c r="D376" s="659" t="s">
        <v>826</v>
      </c>
    </row>
    <row r="377" spans="1:4" ht="36.75" customHeight="1">
      <c r="A377" s="669"/>
      <c r="B377" s="650" t="s">
        <v>48</v>
      </c>
      <c r="C377" s="661">
        <f>ROUND(Data!K1874,2)</f>
        <v>229.61</v>
      </c>
      <c r="D377" s="652" t="s">
        <v>826</v>
      </c>
    </row>
    <row r="378" spans="1:4" ht="36.75" customHeight="1">
      <c r="A378" s="649">
        <v>52.1</v>
      </c>
      <c r="B378" s="683" t="s">
        <v>1521</v>
      </c>
      <c r="C378" s="684">
        <f>ROUND(Data!K1927,2)</f>
        <v>311.44</v>
      </c>
      <c r="D378" s="652" t="s">
        <v>826</v>
      </c>
    </row>
    <row r="379" spans="1:4" ht="36.75" customHeight="1">
      <c r="A379" s="649">
        <v>53.1</v>
      </c>
      <c r="B379" s="650" t="s">
        <v>49</v>
      </c>
      <c r="C379" s="661">
        <f>ROUND(Data!K1948,2)</f>
        <v>3337.32</v>
      </c>
      <c r="D379" s="652" t="s">
        <v>1398</v>
      </c>
    </row>
    <row r="380" spans="1:4" ht="36.75" customHeight="1">
      <c r="A380" s="649">
        <v>53.2</v>
      </c>
      <c r="B380" s="650" t="s">
        <v>1183</v>
      </c>
      <c r="C380" s="661"/>
      <c r="D380" s="652" t="s">
        <v>1398</v>
      </c>
    </row>
    <row r="381" spans="1:4" ht="36.75" customHeight="1">
      <c r="A381" s="649">
        <v>53.3</v>
      </c>
      <c r="B381" s="650" t="s">
        <v>50</v>
      </c>
      <c r="C381" s="654">
        <f>ROUND(Data!K1952,2)</f>
        <v>30</v>
      </c>
      <c r="D381" s="652" t="s">
        <v>1398</v>
      </c>
    </row>
    <row r="382" spans="1:4" ht="36.75" customHeight="1">
      <c r="A382" s="685">
        <v>54</v>
      </c>
      <c r="B382" s="650" t="s">
        <v>977</v>
      </c>
      <c r="C382" s="661">
        <f>ROUND(Data!K1954,2)</f>
        <v>206</v>
      </c>
      <c r="D382" s="652" t="s">
        <v>1398</v>
      </c>
    </row>
    <row r="383" spans="1:4" ht="36.75" customHeight="1">
      <c r="A383" s="649">
        <v>54.1</v>
      </c>
      <c r="B383" s="650" t="s">
        <v>1184</v>
      </c>
      <c r="C383" s="654">
        <f>ROUND(Data!K1957,2)</f>
        <v>300</v>
      </c>
      <c r="D383" s="652" t="s">
        <v>1398</v>
      </c>
    </row>
    <row r="384" spans="1:4" ht="36.75" customHeight="1">
      <c r="A384" s="649">
        <v>54.2</v>
      </c>
      <c r="B384" s="650" t="s">
        <v>1185</v>
      </c>
      <c r="C384" s="654">
        <f>ROUND(Data!K1960,2)</f>
        <v>250</v>
      </c>
      <c r="D384" s="652" t="s">
        <v>1398</v>
      </c>
    </row>
    <row r="385" spans="1:4" ht="36.75" customHeight="1">
      <c r="A385" s="649">
        <v>55.1</v>
      </c>
      <c r="B385" s="650" t="s">
        <v>1218</v>
      </c>
      <c r="C385" s="661">
        <f>Data!K2403</f>
        <v>886.53</v>
      </c>
      <c r="D385" s="652" t="s">
        <v>1398</v>
      </c>
    </row>
    <row r="386" spans="1:4" ht="36.75" customHeight="1">
      <c r="A386" s="649">
        <v>55.2</v>
      </c>
      <c r="B386" s="650" t="s">
        <v>1219</v>
      </c>
      <c r="C386" s="661">
        <f>Data!K2415</f>
        <v>2198.25</v>
      </c>
      <c r="D386" s="652" t="s">
        <v>1398</v>
      </c>
    </row>
    <row r="387" spans="1:4" ht="36.75" customHeight="1">
      <c r="A387" s="649">
        <v>56.1</v>
      </c>
      <c r="B387" s="650" t="s">
        <v>1220</v>
      </c>
      <c r="C387" s="661">
        <f>ROUND(Data!K1977,2)</f>
        <v>3355.43</v>
      </c>
      <c r="D387" s="652" t="s">
        <v>1398</v>
      </c>
    </row>
    <row r="388" spans="1:4" ht="36.75" customHeight="1">
      <c r="A388" s="649">
        <v>56.2</v>
      </c>
      <c r="B388" s="650" t="s">
        <v>2289</v>
      </c>
      <c r="C388" s="661">
        <f>ROUND(Data!K1998,2)</f>
        <v>5176.6499999999996</v>
      </c>
      <c r="D388" s="652" t="s">
        <v>1398</v>
      </c>
    </row>
    <row r="389" spans="1:4" ht="36.75" customHeight="1">
      <c r="A389" s="685">
        <v>57</v>
      </c>
      <c r="B389" s="650" t="s">
        <v>392</v>
      </c>
      <c r="C389" s="654">
        <f>ROUND(Data!K2015,2)</f>
        <v>7114.2</v>
      </c>
      <c r="D389" s="652" t="s">
        <v>1398</v>
      </c>
    </row>
    <row r="390" spans="1:4" ht="36.75" customHeight="1">
      <c r="A390" s="649">
        <v>57.1</v>
      </c>
      <c r="B390" s="650" t="s">
        <v>393</v>
      </c>
      <c r="C390" s="661">
        <f>ROUND(Data!K2034,2)</f>
        <v>7508.2</v>
      </c>
      <c r="D390" s="652" t="s">
        <v>1398</v>
      </c>
    </row>
    <row r="391" spans="1:4" ht="36.75" customHeight="1">
      <c r="A391" s="649">
        <v>58.1</v>
      </c>
      <c r="B391" s="650" t="s">
        <v>394</v>
      </c>
      <c r="C391" s="661"/>
      <c r="D391" s="652"/>
    </row>
    <row r="392" spans="1:4" ht="36.75" customHeight="1">
      <c r="A392" s="650"/>
      <c r="B392" s="650" t="s">
        <v>35</v>
      </c>
      <c r="C392" s="661">
        <f>ROUND(Data!K2063,2)</f>
        <v>717.55</v>
      </c>
      <c r="D392" s="652" t="s">
        <v>826</v>
      </c>
    </row>
    <row r="393" spans="1:4" ht="36.75" customHeight="1">
      <c r="A393" s="669"/>
      <c r="B393" s="650" t="s">
        <v>36</v>
      </c>
      <c r="C393" s="661">
        <f>ROUND(Data!K2087,2)</f>
        <v>600.25</v>
      </c>
      <c r="D393" s="652" t="s">
        <v>826</v>
      </c>
    </row>
    <row r="394" spans="1:4" ht="36.75" customHeight="1">
      <c r="A394" s="649">
        <v>58.2</v>
      </c>
      <c r="B394" s="650" t="s">
        <v>37</v>
      </c>
      <c r="C394" s="661">
        <f>ROUND(Data!K2098,2)</f>
        <v>454</v>
      </c>
      <c r="D394" s="652" t="s">
        <v>1398</v>
      </c>
    </row>
    <row r="395" spans="1:4" ht="36.75" customHeight="1">
      <c r="A395" s="649">
        <v>59.1</v>
      </c>
      <c r="B395" s="650" t="s">
        <v>287</v>
      </c>
      <c r="C395" s="661"/>
      <c r="D395" s="652" t="s">
        <v>1398</v>
      </c>
    </row>
    <row r="396" spans="1:4" ht="36.75" customHeight="1">
      <c r="A396" s="649">
        <v>59.2</v>
      </c>
      <c r="B396" s="650" t="s">
        <v>33</v>
      </c>
      <c r="C396" s="661">
        <f>ROUND(Data!K2111,2)</f>
        <v>1991.24</v>
      </c>
      <c r="D396" s="652" t="s">
        <v>1398</v>
      </c>
    </row>
    <row r="397" spans="1:4" ht="36.75" customHeight="1">
      <c r="A397" s="649">
        <v>59.3</v>
      </c>
      <c r="B397" s="650" t="s">
        <v>230</v>
      </c>
      <c r="C397" s="661"/>
      <c r="D397" s="652" t="s">
        <v>1398</v>
      </c>
    </row>
    <row r="398" spans="1:4" ht="36.75" customHeight="1">
      <c r="A398" s="649">
        <v>59.4</v>
      </c>
      <c r="B398" s="650" t="s">
        <v>1305</v>
      </c>
      <c r="C398" s="661"/>
      <c r="D398" s="652" t="s">
        <v>1398</v>
      </c>
    </row>
    <row r="399" spans="1:4" s="660" customFormat="1" ht="36.75" customHeight="1">
      <c r="A399" s="656">
        <v>59.5</v>
      </c>
      <c r="B399" s="657" t="s">
        <v>1306</v>
      </c>
      <c r="C399" s="658">
        <f>Data!K2111</f>
        <v>1991.24</v>
      </c>
      <c r="D399" s="659" t="s">
        <v>1398</v>
      </c>
    </row>
    <row r="400" spans="1:4" ht="36.75" customHeight="1">
      <c r="A400" s="649">
        <v>59.6</v>
      </c>
      <c r="B400" s="650" t="s">
        <v>1209</v>
      </c>
      <c r="C400" s="661"/>
      <c r="D400" s="652" t="s">
        <v>1398</v>
      </c>
    </row>
    <row r="401" spans="1:4" ht="36.75" customHeight="1">
      <c r="A401" s="649">
        <v>60</v>
      </c>
      <c r="B401" s="650" t="s">
        <v>1525</v>
      </c>
      <c r="C401" s="654">
        <f>ROUND(Data!K2119,2)</f>
        <v>160</v>
      </c>
      <c r="D401" s="652" t="s">
        <v>1398</v>
      </c>
    </row>
    <row r="402" spans="1:4" ht="36.75" customHeight="1">
      <c r="A402" s="649">
        <v>61.1</v>
      </c>
      <c r="B402" s="650" t="s">
        <v>1308</v>
      </c>
      <c r="C402" s="654"/>
      <c r="D402" s="652"/>
    </row>
    <row r="403" spans="1:4" ht="36.75" customHeight="1">
      <c r="A403" s="650"/>
      <c r="B403" s="650" t="s">
        <v>1051</v>
      </c>
      <c r="C403" s="654">
        <f>ROUND(Data!K2138,2)</f>
        <v>570.66</v>
      </c>
      <c r="D403" s="652" t="s">
        <v>826</v>
      </c>
    </row>
    <row r="404" spans="1:4" ht="36.75" customHeight="1">
      <c r="A404" s="669"/>
      <c r="B404" s="650" t="s">
        <v>1052</v>
      </c>
      <c r="C404" s="654">
        <f>ROUND(Data!K2158,2)</f>
        <v>752.83</v>
      </c>
      <c r="D404" s="652" t="s">
        <v>826</v>
      </c>
    </row>
    <row r="405" spans="1:4" ht="36.75" customHeight="1">
      <c r="A405" s="649">
        <v>61.2</v>
      </c>
      <c r="B405" s="664" t="s">
        <v>1053</v>
      </c>
      <c r="C405" s="654"/>
      <c r="D405" s="652"/>
    </row>
    <row r="406" spans="1:4" ht="36.75" customHeight="1">
      <c r="A406" s="650"/>
      <c r="B406" s="650" t="s">
        <v>1054</v>
      </c>
      <c r="C406" s="654">
        <f>ROUND(Data!K2169,2)</f>
        <v>242.19</v>
      </c>
      <c r="D406" s="652" t="s">
        <v>826</v>
      </c>
    </row>
    <row r="407" spans="1:4" ht="36.75" customHeight="1">
      <c r="A407" s="669"/>
      <c r="B407" s="650" t="s">
        <v>1055</v>
      </c>
      <c r="C407" s="661">
        <f>ROUND(Data!K2184,2)</f>
        <v>356.15</v>
      </c>
      <c r="D407" s="652" t="s">
        <v>826</v>
      </c>
    </row>
    <row r="408" spans="1:4" ht="36.75" customHeight="1">
      <c r="A408" s="649">
        <v>62.1</v>
      </c>
      <c r="B408" s="650" t="s">
        <v>1056</v>
      </c>
      <c r="C408" s="654"/>
      <c r="D408" s="652"/>
    </row>
    <row r="409" spans="1:4" ht="36.75" customHeight="1">
      <c r="A409" s="650"/>
      <c r="B409" s="650" t="s">
        <v>1054</v>
      </c>
      <c r="C409" s="654">
        <f>ROUND(Data!K2193,2)</f>
        <v>104.1</v>
      </c>
      <c r="D409" s="652" t="s">
        <v>1398</v>
      </c>
    </row>
    <row r="410" spans="1:4" ht="36.75" customHeight="1">
      <c r="A410" s="669"/>
      <c r="B410" s="650" t="s">
        <v>1055</v>
      </c>
      <c r="C410" s="661">
        <f>ROUND(Data!K2200,2)</f>
        <v>143.15</v>
      </c>
      <c r="D410" s="652" t="s">
        <v>1398</v>
      </c>
    </row>
    <row r="411" spans="1:4" ht="36.75" customHeight="1">
      <c r="A411" s="649">
        <v>62.2</v>
      </c>
      <c r="B411" s="664" t="s">
        <v>1057</v>
      </c>
      <c r="C411" s="654"/>
      <c r="D411" s="652"/>
    </row>
    <row r="412" spans="1:4" ht="36.75" customHeight="1">
      <c r="A412" s="650"/>
      <c r="B412" s="650" t="s">
        <v>1054</v>
      </c>
      <c r="C412" s="654">
        <f>ROUND(Data!K2206,2)</f>
        <v>131</v>
      </c>
      <c r="D412" s="652" t="s">
        <v>1398</v>
      </c>
    </row>
    <row r="413" spans="1:4" ht="36.75" customHeight="1">
      <c r="A413" s="669"/>
      <c r="B413" s="650" t="s">
        <v>1055</v>
      </c>
      <c r="C413" s="654">
        <f>ROUND(Data!K2216,2)</f>
        <v>169.15</v>
      </c>
      <c r="D413" s="652" t="s">
        <v>1398</v>
      </c>
    </row>
    <row r="414" spans="1:4" ht="36.75" customHeight="1">
      <c r="A414" s="649">
        <v>63</v>
      </c>
      <c r="B414" s="650" t="s">
        <v>2140</v>
      </c>
      <c r="C414" s="661">
        <f>ROUND(Data!K2225,2)</f>
        <v>31.87</v>
      </c>
      <c r="D414" s="652" t="s">
        <v>1398</v>
      </c>
    </row>
    <row r="415" spans="1:4" ht="36.75" customHeight="1">
      <c r="A415" s="649"/>
      <c r="B415" s="664" t="s">
        <v>2141</v>
      </c>
      <c r="C415" s="654"/>
      <c r="D415" s="652"/>
    </row>
    <row r="416" spans="1:4" ht="36.75" customHeight="1">
      <c r="A416" s="649">
        <v>64</v>
      </c>
      <c r="B416" s="650" t="s">
        <v>2142</v>
      </c>
      <c r="C416" s="661">
        <f>Data!K2261</f>
        <v>1692.1</v>
      </c>
      <c r="D416" s="652" t="s">
        <v>1398</v>
      </c>
    </row>
    <row r="417" spans="1:4" ht="36.75" customHeight="1">
      <c r="A417" s="650"/>
      <c r="B417" s="650" t="s">
        <v>1270</v>
      </c>
      <c r="C417" s="661">
        <f>Data!K2262</f>
        <v>1695.1</v>
      </c>
      <c r="D417" s="652" t="s">
        <v>1398</v>
      </c>
    </row>
    <row r="418" spans="1:4" ht="36.75" customHeight="1">
      <c r="A418" s="669"/>
      <c r="B418" s="650" t="s">
        <v>299</v>
      </c>
      <c r="C418" s="661">
        <f>Data!K2263</f>
        <v>1732.1</v>
      </c>
      <c r="D418" s="652" t="s">
        <v>1398</v>
      </c>
    </row>
    <row r="419" spans="1:4" ht="36.75" customHeight="1">
      <c r="A419" s="649">
        <v>65</v>
      </c>
      <c r="B419" s="650" t="s">
        <v>300</v>
      </c>
      <c r="C419" s="661">
        <f>Data!K2264</f>
        <v>1767.1</v>
      </c>
      <c r="D419" s="652" t="s">
        <v>1398</v>
      </c>
    </row>
    <row r="420" spans="1:4" ht="36.75" customHeight="1">
      <c r="A420" s="649">
        <v>66</v>
      </c>
      <c r="B420" s="650" t="s">
        <v>301</v>
      </c>
      <c r="C420" s="661">
        <f>Data!K2265</f>
        <v>3176.2</v>
      </c>
      <c r="D420" s="652" t="s">
        <v>1398</v>
      </c>
    </row>
    <row r="421" spans="1:4" ht="36.75" customHeight="1">
      <c r="A421" s="649">
        <v>67</v>
      </c>
      <c r="B421" s="650" t="s">
        <v>1786</v>
      </c>
      <c r="C421" s="661">
        <f>Data!K2266</f>
        <v>869.5</v>
      </c>
      <c r="D421" s="652" t="s">
        <v>1398</v>
      </c>
    </row>
    <row r="422" spans="1:4" ht="36.75" customHeight="1">
      <c r="A422" s="649">
        <v>68</v>
      </c>
      <c r="B422" s="650" t="s">
        <v>1787</v>
      </c>
      <c r="C422" s="661">
        <f>Data!K2267</f>
        <v>1174.4000000000001</v>
      </c>
      <c r="D422" s="652" t="s">
        <v>1398</v>
      </c>
    </row>
    <row r="423" spans="1:4" s="660" customFormat="1" ht="36.75" customHeight="1">
      <c r="A423" s="656">
        <v>69</v>
      </c>
      <c r="B423" s="657" t="s">
        <v>1788</v>
      </c>
      <c r="C423" s="658">
        <f>Data!K2268</f>
        <v>150</v>
      </c>
      <c r="D423" s="659" t="s">
        <v>1398</v>
      </c>
    </row>
    <row r="424" spans="1:4" ht="36.75" customHeight="1">
      <c r="A424" s="649">
        <v>70.099999999999994</v>
      </c>
      <c r="B424" s="650" t="s">
        <v>1789</v>
      </c>
      <c r="C424" s="661">
        <f>Data!K2269</f>
        <v>529.20000000000005</v>
      </c>
      <c r="D424" s="652" t="s">
        <v>1398</v>
      </c>
    </row>
    <row r="425" spans="1:4" ht="36.75" customHeight="1">
      <c r="A425" s="649">
        <v>70.2</v>
      </c>
      <c r="B425" s="650" t="s">
        <v>1790</v>
      </c>
      <c r="C425" s="661"/>
      <c r="D425" s="652" t="s">
        <v>1398</v>
      </c>
    </row>
    <row r="426" spans="1:4" ht="36.75" customHeight="1">
      <c r="A426" s="649">
        <v>70.3</v>
      </c>
      <c r="B426" s="650" t="s">
        <v>1791</v>
      </c>
      <c r="C426" s="661">
        <f>Data!K2271</f>
        <v>9.4</v>
      </c>
      <c r="D426" s="652" t="s">
        <v>1398</v>
      </c>
    </row>
    <row r="427" spans="1:4" ht="36.75" customHeight="1">
      <c r="A427" s="649">
        <v>70.400000000000006</v>
      </c>
      <c r="B427" s="650" t="s">
        <v>1387</v>
      </c>
      <c r="C427" s="661">
        <f>Data!K2272</f>
        <v>10</v>
      </c>
      <c r="D427" s="652" t="s">
        <v>1398</v>
      </c>
    </row>
    <row r="428" spans="1:4" ht="36.75" customHeight="1">
      <c r="A428" s="649">
        <v>71</v>
      </c>
      <c r="B428" s="650" t="s">
        <v>1388</v>
      </c>
      <c r="C428" s="654">
        <f>Data!K2273</f>
        <v>1372.85</v>
      </c>
      <c r="D428" s="652" t="s">
        <v>1398</v>
      </c>
    </row>
    <row r="429" spans="1:4" ht="36.75" customHeight="1">
      <c r="A429" s="649">
        <v>72</v>
      </c>
      <c r="B429" s="650" t="s">
        <v>902</v>
      </c>
      <c r="C429" s="654">
        <f>Data!K2274</f>
        <v>33.9</v>
      </c>
      <c r="D429" s="652" t="s">
        <v>1398</v>
      </c>
    </row>
    <row r="430" spans="1:4" ht="36.75" customHeight="1">
      <c r="A430" s="650">
        <v>73.099999999999994</v>
      </c>
      <c r="B430" s="650" t="s">
        <v>903</v>
      </c>
      <c r="C430" s="654">
        <f>Data!K2275</f>
        <v>4248.34</v>
      </c>
      <c r="D430" s="652" t="s">
        <v>1398</v>
      </c>
    </row>
    <row r="431" spans="1:4" ht="36.75" customHeight="1">
      <c r="A431" s="649">
        <v>73.2</v>
      </c>
      <c r="B431" s="650" t="s">
        <v>904</v>
      </c>
      <c r="C431" s="661">
        <f>Data!K2276</f>
        <v>3466.34</v>
      </c>
      <c r="D431" s="652" t="s">
        <v>1398</v>
      </c>
    </row>
    <row r="432" spans="1:4" ht="36.75" customHeight="1">
      <c r="A432" s="649">
        <v>74</v>
      </c>
      <c r="B432" s="650" t="s">
        <v>905</v>
      </c>
      <c r="C432" s="654">
        <f>Data!K2277</f>
        <v>601.20000000000005</v>
      </c>
      <c r="D432" s="652" t="s">
        <v>1398</v>
      </c>
    </row>
    <row r="433" spans="1:4" ht="36.75" customHeight="1">
      <c r="A433" s="649">
        <v>75</v>
      </c>
      <c r="B433" s="664" t="s">
        <v>906</v>
      </c>
      <c r="C433" s="661"/>
      <c r="D433" s="652"/>
    </row>
    <row r="434" spans="1:4" ht="36.75" customHeight="1">
      <c r="A434" s="650"/>
      <c r="B434" s="650" t="s">
        <v>907</v>
      </c>
      <c r="C434" s="661"/>
      <c r="D434" s="652" t="s">
        <v>1398</v>
      </c>
    </row>
    <row r="435" spans="1:4" ht="36.75" customHeight="1">
      <c r="A435" s="669"/>
      <c r="B435" s="650" t="s">
        <v>908</v>
      </c>
      <c r="C435" s="661"/>
      <c r="D435" s="652" t="s">
        <v>1398</v>
      </c>
    </row>
    <row r="436" spans="1:4" ht="36.75" customHeight="1">
      <c r="A436" s="649">
        <v>76</v>
      </c>
      <c r="B436" s="650" t="s">
        <v>909</v>
      </c>
      <c r="C436" s="654">
        <f>Elec.Data!K463</f>
        <v>27.13</v>
      </c>
      <c r="D436" s="652" t="s">
        <v>826</v>
      </c>
    </row>
    <row r="437" spans="1:4" ht="36.75" customHeight="1">
      <c r="A437" s="649">
        <v>77</v>
      </c>
      <c r="B437" s="650" t="s">
        <v>910</v>
      </c>
      <c r="C437" s="661">
        <f>ROUND(Data!K2282,2)</f>
        <v>214.9</v>
      </c>
      <c r="D437" s="652" t="s">
        <v>826</v>
      </c>
    </row>
    <row r="438" spans="1:4" ht="36.75" customHeight="1">
      <c r="A438" s="649">
        <v>77.099999999999994</v>
      </c>
      <c r="B438" s="650" t="s">
        <v>1923</v>
      </c>
      <c r="C438" s="661">
        <f>ROUND(Data!K2283,2)</f>
        <v>272.89999999999998</v>
      </c>
      <c r="D438" s="652" t="s">
        <v>826</v>
      </c>
    </row>
    <row r="439" spans="1:4" ht="36.75" customHeight="1">
      <c r="A439" s="649">
        <v>77.2</v>
      </c>
      <c r="B439" s="650" t="s">
        <v>5465</v>
      </c>
      <c r="C439" s="661">
        <v>1879</v>
      </c>
      <c r="D439" s="652" t="s">
        <v>1398</v>
      </c>
    </row>
    <row r="440" spans="1:4" ht="36.75" customHeight="1">
      <c r="A440" s="649">
        <v>77.3</v>
      </c>
      <c r="B440" s="650" t="s">
        <v>1344</v>
      </c>
      <c r="C440" s="654">
        <f>Data!K2285</f>
        <v>77.010000000000005</v>
      </c>
      <c r="D440" s="652" t="s">
        <v>1398</v>
      </c>
    </row>
    <row r="441" spans="1:4" ht="36.75" customHeight="1">
      <c r="A441" s="649">
        <v>77.400000000000006</v>
      </c>
      <c r="B441" s="650" t="s">
        <v>1050</v>
      </c>
      <c r="C441" s="654">
        <f>Data!K2304</f>
        <v>88.71</v>
      </c>
      <c r="D441" s="652" t="s">
        <v>826</v>
      </c>
    </row>
    <row r="442" spans="1:4" ht="36.75" customHeight="1">
      <c r="A442" s="649">
        <v>78</v>
      </c>
      <c r="B442" s="650" t="s">
        <v>2166</v>
      </c>
      <c r="C442" s="654">
        <f>Data!K2286</f>
        <v>2997.6</v>
      </c>
      <c r="D442" s="652" t="s">
        <v>1398</v>
      </c>
    </row>
    <row r="443" spans="1:4" ht="36.75" customHeight="1">
      <c r="A443" s="649">
        <v>78.099999999999994</v>
      </c>
      <c r="B443" s="650" t="s">
        <v>2167</v>
      </c>
      <c r="C443" s="661"/>
      <c r="D443" s="652" t="s">
        <v>1398</v>
      </c>
    </row>
    <row r="444" spans="1:4" ht="36.75" customHeight="1">
      <c r="A444" s="649">
        <v>79.099999999999994</v>
      </c>
      <c r="B444" s="650" t="s">
        <v>2221</v>
      </c>
      <c r="C444" s="661">
        <f>Elec.Data!K569</f>
        <v>573</v>
      </c>
      <c r="D444" s="652" t="s">
        <v>1398</v>
      </c>
    </row>
    <row r="445" spans="1:4" ht="36.75" customHeight="1">
      <c r="A445" s="649">
        <v>79.2</v>
      </c>
      <c r="B445" s="650" t="s">
        <v>1189</v>
      </c>
      <c r="C445" s="661">
        <f>Elec.Data!K588</f>
        <v>852.12</v>
      </c>
      <c r="D445" s="652" t="s">
        <v>1398</v>
      </c>
    </row>
    <row r="446" spans="1:4" ht="36.75" customHeight="1">
      <c r="A446" s="649">
        <v>80</v>
      </c>
      <c r="B446" s="650" t="s">
        <v>634</v>
      </c>
      <c r="C446" s="654">
        <f>Data!K2287</f>
        <v>846</v>
      </c>
      <c r="D446" s="652" t="s">
        <v>1398</v>
      </c>
    </row>
    <row r="447" spans="1:4" s="660" customFormat="1" ht="36.75" customHeight="1">
      <c r="A447" s="656">
        <v>81</v>
      </c>
      <c r="B447" s="657" t="s">
        <v>291</v>
      </c>
      <c r="C447" s="658">
        <f>ROUND(Data!K2288,2)</f>
        <v>2543.1999999999998</v>
      </c>
      <c r="D447" s="659" t="s">
        <v>2283</v>
      </c>
    </row>
    <row r="448" spans="1:4" ht="36.75" customHeight="1">
      <c r="A448" s="686">
        <v>82</v>
      </c>
      <c r="B448" s="650" t="s">
        <v>1086</v>
      </c>
      <c r="C448" s="654">
        <f>ROUND(Data!K2289,2)</f>
        <v>3037.67</v>
      </c>
      <c r="D448" s="652" t="s">
        <v>1398</v>
      </c>
    </row>
    <row r="449" spans="1:4" ht="36.75" customHeight="1">
      <c r="A449" s="649">
        <v>83</v>
      </c>
      <c r="B449" s="650" t="s">
        <v>1190</v>
      </c>
      <c r="C449" s="661">
        <f>Elec.Data!K725</f>
        <v>190</v>
      </c>
      <c r="D449" s="652" t="s">
        <v>826</v>
      </c>
    </row>
    <row r="450" spans="1:4" ht="36.75" customHeight="1">
      <c r="A450" s="649">
        <v>84</v>
      </c>
      <c r="B450" s="650" t="s">
        <v>1191</v>
      </c>
      <c r="C450" s="661"/>
      <c r="D450" s="652" t="s">
        <v>826</v>
      </c>
    </row>
    <row r="451" spans="1:4" ht="36.75" customHeight="1">
      <c r="A451" s="649">
        <v>85</v>
      </c>
      <c r="B451" s="650" t="s">
        <v>1192</v>
      </c>
      <c r="C451" s="661">
        <f>Elec.Data!K684</f>
        <v>130</v>
      </c>
      <c r="D451" s="652" t="s">
        <v>826</v>
      </c>
    </row>
    <row r="452" spans="1:4" ht="36.75" customHeight="1">
      <c r="A452" s="686">
        <v>86</v>
      </c>
      <c r="B452" s="650" t="s">
        <v>243</v>
      </c>
      <c r="C452" s="687">
        <v>34</v>
      </c>
      <c r="D452" s="652" t="s">
        <v>1842</v>
      </c>
    </row>
    <row r="453" spans="1:4" ht="36.75" customHeight="1">
      <c r="A453" s="686">
        <v>87</v>
      </c>
      <c r="B453" s="650" t="s">
        <v>1884</v>
      </c>
      <c r="C453" s="654">
        <f>ROUND(Data!K2290,2)</f>
        <v>2717.8</v>
      </c>
      <c r="D453" s="652" t="s">
        <v>1398</v>
      </c>
    </row>
    <row r="454" spans="1:4" ht="36.75" customHeight="1">
      <c r="A454" s="649">
        <v>112</v>
      </c>
      <c r="B454" s="650" t="s">
        <v>3803</v>
      </c>
      <c r="C454" s="661">
        <f>ROUND(Data!K2280,2)</f>
        <v>2363.25</v>
      </c>
      <c r="D454" s="652" t="s">
        <v>1398</v>
      </c>
    </row>
    <row r="455" spans="1:4" ht="36.75" customHeight="1">
      <c r="A455" s="686">
        <v>238</v>
      </c>
      <c r="B455" s="650" t="s">
        <v>6199</v>
      </c>
      <c r="C455" s="661">
        <f>ROUND(Data!K1567,2)</f>
        <v>4672.5</v>
      </c>
      <c r="D455" s="652" t="s">
        <v>528</v>
      </c>
    </row>
    <row r="456" spans="1:4" ht="36.75" customHeight="1">
      <c r="A456" s="686"/>
      <c r="B456" s="688" t="s">
        <v>2889</v>
      </c>
      <c r="C456" s="654"/>
      <c r="D456" s="652"/>
    </row>
    <row r="457" spans="1:4" s="674" customFormat="1" ht="36.75" customHeight="1">
      <c r="A457" s="689" t="s">
        <v>995</v>
      </c>
      <c r="B457" s="665" t="s">
        <v>4738</v>
      </c>
      <c r="C457" s="658"/>
      <c r="D457" s="659"/>
    </row>
    <row r="458" spans="1:4" s="674" customFormat="1" ht="36.75" customHeight="1">
      <c r="A458" s="657"/>
      <c r="B458" s="657" t="s">
        <v>5100</v>
      </c>
      <c r="C458" s="658">
        <f>Data!AK537</f>
        <v>1495.48</v>
      </c>
      <c r="D458" s="659" t="s">
        <v>1842</v>
      </c>
    </row>
    <row r="459" spans="1:4" s="674" customFormat="1" ht="36.75" customHeight="1">
      <c r="A459" s="657"/>
      <c r="B459" s="657" t="s">
        <v>1386</v>
      </c>
      <c r="C459" s="658">
        <f>Data!AK538</f>
        <v>1500.25</v>
      </c>
      <c r="D459" s="659" t="s">
        <v>1842</v>
      </c>
    </row>
    <row r="460" spans="1:4" s="674" customFormat="1" ht="36.75" customHeight="1">
      <c r="A460" s="657"/>
      <c r="B460" s="657" t="s">
        <v>1434</v>
      </c>
      <c r="C460" s="658">
        <f>Data!AK539</f>
        <v>1505.02</v>
      </c>
      <c r="D460" s="659" t="s">
        <v>1842</v>
      </c>
    </row>
    <row r="461" spans="1:4" s="674" customFormat="1" ht="36.75" customHeight="1">
      <c r="A461" s="657"/>
      <c r="B461" s="657" t="s">
        <v>1324</v>
      </c>
      <c r="C461" s="658">
        <f>Data!AK540</f>
        <v>1509.79</v>
      </c>
      <c r="D461" s="659" t="s">
        <v>1842</v>
      </c>
    </row>
    <row r="462" spans="1:4" ht="36.75" customHeight="1">
      <c r="A462" s="669"/>
      <c r="B462" s="650" t="s">
        <v>1078</v>
      </c>
      <c r="C462" s="658">
        <f>Data!AK541</f>
        <v>1514.56</v>
      </c>
      <c r="D462" s="652" t="s">
        <v>1842</v>
      </c>
    </row>
    <row r="463" spans="1:4" s="674" customFormat="1" ht="36.75" customHeight="1">
      <c r="A463" s="689" t="s">
        <v>1128</v>
      </c>
      <c r="B463" s="665" t="s">
        <v>4739</v>
      </c>
      <c r="C463" s="658"/>
      <c r="D463" s="659"/>
    </row>
    <row r="464" spans="1:4" s="674" customFormat="1" ht="36.75" customHeight="1">
      <c r="A464" s="657"/>
      <c r="B464" s="657" t="s">
        <v>619</v>
      </c>
      <c r="C464" s="658">
        <f>Data!AK559</f>
        <v>2136.6999999999998</v>
      </c>
      <c r="D464" s="659" t="s">
        <v>1842</v>
      </c>
    </row>
    <row r="465" spans="1:4" s="674" customFormat="1" ht="36.75" customHeight="1">
      <c r="A465" s="657"/>
      <c r="B465" s="657" t="s">
        <v>5101</v>
      </c>
      <c r="C465" s="658">
        <f>Data!AK561</f>
        <v>2141.54</v>
      </c>
      <c r="D465" s="659" t="s">
        <v>1842</v>
      </c>
    </row>
    <row r="466" spans="1:4" s="674" customFormat="1" ht="36.75" customHeight="1">
      <c r="A466" s="657"/>
      <c r="B466" s="657" t="s">
        <v>1246</v>
      </c>
      <c r="C466" s="658">
        <f>Data!AK562</f>
        <v>2151.0700000000002</v>
      </c>
      <c r="D466" s="659" t="s">
        <v>1842</v>
      </c>
    </row>
    <row r="467" spans="1:4" s="674" customFormat="1" ht="36.75" customHeight="1">
      <c r="A467" s="657"/>
      <c r="B467" s="657" t="s">
        <v>680</v>
      </c>
      <c r="C467" s="658">
        <f>Data!AK563</f>
        <v>2160.6</v>
      </c>
      <c r="D467" s="659" t="s">
        <v>1842</v>
      </c>
    </row>
    <row r="468" spans="1:4" s="674" customFormat="1" ht="36.75" customHeight="1">
      <c r="A468" s="657"/>
      <c r="B468" s="657" t="s">
        <v>681</v>
      </c>
      <c r="C468" s="658">
        <f>Data!AK564</f>
        <v>2170.13</v>
      </c>
      <c r="D468" s="659" t="s">
        <v>1842</v>
      </c>
    </row>
    <row r="469" spans="1:4" ht="36.75" customHeight="1">
      <c r="A469" s="669"/>
      <c r="B469" s="650" t="s">
        <v>1273</v>
      </c>
      <c r="C469" s="658">
        <f>Data!AK565</f>
        <v>2179.66</v>
      </c>
      <c r="D469" s="652" t="s">
        <v>1842</v>
      </c>
    </row>
    <row r="470" spans="1:4" ht="36.75" customHeight="1">
      <c r="A470" s="682" t="s">
        <v>995</v>
      </c>
      <c r="B470" s="664" t="s">
        <v>4133</v>
      </c>
      <c r="C470" s="654"/>
      <c r="D470" s="652"/>
    </row>
    <row r="471" spans="1:4" ht="36.75" customHeight="1">
      <c r="A471" s="650"/>
      <c r="B471" s="650" t="s">
        <v>1252</v>
      </c>
      <c r="C471" s="654">
        <f>Data!AD537</f>
        <v>1492.54</v>
      </c>
      <c r="D471" s="652" t="s">
        <v>1842</v>
      </c>
    </row>
    <row r="472" spans="1:4" ht="36.75" customHeight="1">
      <c r="A472" s="650"/>
      <c r="B472" s="650" t="s">
        <v>1386</v>
      </c>
      <c r="C472" s="654">
        <f>Data!AD538</f>
        <v>1497.31</v>
      </c>
      <c r="D472" s="652" t="s">
        <v>1842</v>
      </c>
    </row>
    <row r="473" spans="1:4" ht="36.75" customHeight="1">
      <c r="A473" s="650"/>
      <c r="B473" s="650" t="s">
        <v>1434</v>
      </c>
      <c r="C473" s="654">
        <f>Data!AD539</f>
        <v>1502.08</v>
      </c>
      <c r="D473" s="652" t="s">
        <v>1842</v>
      </c>
    </row>
    <row r="474" spans="1:4" ht="36.75" customHeight="1">
      <c r="A474" s="650"/>
      <c r="B474" s="650" t="s">
        <v>1324</v>
      </c>
      <c r="C474" s="654">
        <f>Data!AD540</f>
        <v>1506.85</v>
      </c>
      <c r="D474" s="652" t="s">
        <v>1842</v>
      </c>
    </row>
    <row r="475" spans="1:4" ht="36.75" customHeight="1">
      <c r="A475" s="669"/>
      <c r="B475" s="650" t="s">
        <v>1078</v>
      </c>
      <c r="C475" s="654">
        <f>Data!AD541</f>
        <v>1511.62</v>
      </c>
      <c r="D475" s="652" t="s">
        <v>1842</v>
      </c>
    </row>
    <row r="476" spans="1:4" ht="36.75" customHeight="1">
      <c r="A476" s="682" t="s">
        <v>1128</v>
      </c>
      <c r="B476" s="664" t="s">
        <v>4134</v>
      </c>
      <c r="C476" s="654"/>
      <c r="D476" s="652"/>
    </row>
    <row r="477" spans="1:4" ht="36.75" customHeight="1">
      <c r="A477" s="650"/>
      <c r="B477" s="657" t="s">
        <v>619</v>
      </c>
      <c r="C477" s="654">
        <f>Data!AD559</f>
        <v>1650.83</v>
      </c>
      <c r="D477" s="652" t="s">
        <v>1842</v>
      </c>
    </row>
    <row r="478" spans="1:4" ht="36.75" customHeight="1">
      <c r="A478" s="650"/>
      <c r="B478" s="650" t="s">
        <v>620</v>
      </c>
      <c r="C478" s="654">
        <f>Data!AD561</f>
        <v>1655.67</v>
      </c>
      <c r="D478" s="652" t="s">
        <v>1842</v>
      </c>
    </row>
    <row r="479" spans="1:4" ht="36.75" customHeight="1">
      <c r="A479" s="650"/>
      <c r="B479" s="650" t="s">
        <v>1246</v>
      </c>
      <c r="C479" s="654">
        <f>Data!AD562</f>
        <v>1665.2</v>
      </c>
      <c r="D479" s="652" t="s">
        <v>1842</v>
      </c>
    </row>
    <row r="480" spans="1:4" ht="36.75" customHeight="1">
      <c r="A480" s="650"/>
      <c r="B480" s="650" t="s">
        <v>680</v>
      </c>
      <c r="C480" s="654">
        <f>Data!AD563</f>
        <v>1674.73</v>
      </c>
      <c r="D480" s="652" t="s">
        <v>1842</v>
      </c>
    </row>
    <row r="481" spans="1:4" ht="36.75" customHeight="1">
      <c r="A481" s="650"/>
      <c r="B481" s="650" t="s">
        <v>681</v>
      </c>
      <c r="C481" s="654">
        <f>Data!AD564</f>
        <v>1684.26</v>
      </c>
      <c r="D481" s="652" t="s">
        <v>1842</v>
      </c>
    </row>
    <row r="482" spans="1:4" ht="36.75" customHeight="1">
      <c r="A482" s="669"/>
      <c r="B482" s="650" t="s">
        <v>1273</v>
      </c>
      <c r="C482" s="654">
        <f>Data!AD565</f>
        <v>1693.79</v>
      </c>
      <c r="D482" s="652" t="s">
        <v>1842</v>
      </c>
    </row>
    <row r="483" spans="1:4" ht="36.75" customHeight="1">
      <c r="A483" s="669"/>
      <c r="B483" s="690" t="s">
        <v>6200</v>
      </c>
      <c r="C483" s="654"/>
      <c r="D483" s="652"/>
    </row>
    <row r="484" spans="1:4" ht="36.75" customHeight="1">
      <c r="A484" s="669"/>
      <c r="B484" s="650" t="s">
        <v>4237</v>
      </c>
      <c r="C484" s="654">
        <f>Data!AD486</f>
        <v>2982.49</v>
      </c>
      <c r="D484" s="652" t="s">
        <v>1842</v>
      </c>
    </row>
    <row r="485" spans="1:4" ht="36.75" customHeight="1">
      <c r="A485" s="669"/>
      <c r="B485" s="650" t="s">
        <v>1386</v>
      </c>
      <c r="C485" s="654">
        <f>Data!AD487</f>
        <v>2991.38</v>
      </c>
      <c r="D485" s="652" t="s">
        <v>1842</v>
      </c>
    </row>
    <row r="486" spans="1:4" ht="36.75" customHeight="1">
      <c r="A486" s="669"/>
      <c r="B486" s="650" t="s">
        <v>1434</v>
      </c>
      <c r="C486" s="654">
        <f>Data!AD488</f>
        <v>3000.27</v>
      </c>
      <c r="D486" s="652" t="s">
        <v>1842</v>
      </c>
    </row>
    <row r="487" spans="1:4" ht="36.75" customHeight="1">
      <c r="A487" s="669"/>
      <c r="B487" s="650" t="s">
        <v>1324</v>
      </c>
      <c r="C487" s="654">
        <f>Data!AD489</f>
        <v>3009.16</v>
      </c>
      <c r="D487" s="652" t="s">
        <v>1842</v>
      </c>
    </row>
    <row r="488" spans="1:4" ht="36.75" customHeight="1">
      <c r="A488" s="669"/>
      <c r="B488" s="650" t="s">
        <v>1078</v>
      </c>
      <c r="C488" s="654">
        <f>Data!AD490</f>
        <v>3018.05</v>
      </c>
      <c r="D488" s="652" t="s">
        <v>1842</v>
      </c>
    </row>
    <row r="489" spans="1:4" s="674" customFormat="1" ht="36.75" customHeight="1">
      <c r="A489" s="691"/>
      <c r="B489" s="657" t="s">
        <v>6201</v>
      </c>
      <c r="C489" s="658"/>
      <c r="D489" s="659"/>
    </row>
    <row r="490" spans="1:4" s="674" customFormat="1" ht="36.75" customHeight="1">
      <c r="A490" s="656"/>
      <c r="B490" s="657" t="s">
        <v>202</v>
      </c>
      <c r="C490" s="658">
        <f>Data!X486</f>
        <v>2962.04</v>
      </c>
      <c r="D490" s="659" t="s">
        <v>1842</v>
      </c>
    </row>
    <row r="491" spans="1:4" s="674" customFormat="1" ht="36.75" customHeight="1">
      <c r="A491" s="656"/>
      <c r="B491" s="657" t="s">
        <v>1386</v>
      </c>
      <c r="C491" s="658">
        <f>Data!X487</f>
        <v>2970.93</v>
      </c>
      <c r="D491" s="659" t="s">
        <v>1842</v>
      </c>
    </row>
    <row r="492" spans="1:4" s="674" customFormat="1" ht="36.75" customHeight="1">
      <c r="A492" s="656"/>
      <c r="B492" s="657" t="s">
        <v>1434</v>
      </c>
      <c r="C492" s="658">
        <f>Data!X488</f>
        <v>2979.82</v>
      </c>
      <c r="D492" s="659" t="s">
        <v>1842</v>
      </c>
    </row>
    <row r="493" spans="1:4" s="674" customFormat="1" ht="36.75" customHeight="1">
      <c r="A493" s="656"/>
      <c r="B493" s="657" t="s">
        <v>1324</v>
      </c>
      <c r="C493" s="658">
        <f>Data!X489</f>
        <v>2988.71</v>
      </c>
      <c r="D493" s="659" t="s">
        <v>1842</v>
      </c>
    </row>
    <row r="494" spans="1:4" s="674" customFormat="1" ht="36.75" customHeight="1">
      <c r="A494" s="692"/>
      <c r="B494" s="657" t="s">
        <v>1078</v>
      </c>
      <c r="C494" s="658">
        <f>Data!X490</f>
        <v>2997.6</v>
      </c>
      <c r="D494" s="659" t="s">
        <v>1842</v>
      </c>
    </row>
    <row r="495" spans="1:4" ht="36.75" customHeight="1">
      <c r="A495" s="667"/>
      <c r="B495" s="650" t="s">
        <v>3771</v>
      </c>
      <c r="C495" s="654">
        <f>Data!X491</f>
        <v>0</v>
      </c>
      <c r="D495" s="652" t="s">
        <v>1842</v>
      </c>
    </row>
    <row r="496" spans="1:4" ht="36.75" customHeight="1">
      <c r="A496" s="667"/>
      <c r="B496" s="665" t="s">
        <v>3992</v>
      </c>
      <c r="C496" s="654"/>
      <c r="D496" s="652"/>
    </row>
    <row r="497" spans="1:4" ht="36.75" customHeight="1">
      <c r="A497" s="667"/>
      <c r="B497" s="657" t="s">
        <v>544</v>
      </c>
      <c r="C497" s="654">
        <f>Data!X718</f>
        <v>8011.75</v>
      </c>
      <c r="D497" s="659" t="s">
        <v>2151</v>
      </c>
    </row>
    <row r="498" spans="1:4" ht="36.75" customHeight="1">
      <c r="A498" s="667"/>
      <c r="B498" s="657" t="s">
        <v>5078</v>
      </c>
      <c r="C498" s="654">
        <f>Data!X720</f>
        <v>8131.6</v>
      </c>
      <c r="D498" s="659" t="s">
        <v>2151</v>
      </c>
    </row>
    <row r="499" spans="1:4" ht="36.75" customHeight="1">
      <c r="A499" s="667"/>
      <c r="B499" s="657" t="str">
        <f>B507</f>
        <v>c. In First Floor</v>
      </c>
      <c r="C499" s="654">
        <f>Data!X721</f>
        <v>8367.7000000000007</v>
      </c>
      <c r="D499" s="659" t="s">
        <v>2151</v>
      </c>
    </row>
    <row r="500" spans="1:4" ht="36.75" customHeight="1">
      <c r="A500" s="667"/>
      <c r="B500" s="657" t="str">
        <f t="shared" ref="B500:B501" si="0">B508</f>
        <v>d. In Second Floor</v>
      </c>
      <c r="C500" s="654">
        <f>Data!X722</f>
        <v>8603.7999999999993</v>
      </c>
      <c r="D500" s="659" t="s">
        <v>2151</v>
      </c>
    </row>
    <row r="501" spans="1:4" ht="36.75" customHeight="1">
      <c r="A501" s="667"/>
      <c r="B501" s="657" t="str">
        <f t="shared" si="0"/>
        <v>e. In Third floor</v>
      </c>
      <c r="C501" s="654">
        <f>Data!X723</f>
        <v>8839.9</v>
      </c>
      <c r="D501" s="659" t="s">
        <v>2151</v>
      </c>
    </row>
    <row r="502" spans="1:4" ht="36.75" customHeight="1">
      <c r="A502" s="667"/>
      <c r="B502" s="650"/>
      <c r="C502" s="654"/>
      <c r="D502" s="652"/>
    </row>
    <row r="503" spans="1:4" ht="36.75" customHeight="1">
      <c r="A503" s="667"/>
      <c r="B503" s="650"/>
      <c r="C503" s="654"/>
      <c r="D503" s="652"/>
    </row>
    <row r="504" spans="1:4" s="660" customFormat="1" ht="36.75" customHeight="1">
      <c r="A504" s="693">
        <v>4.0999999999999996</v>
      </c>
      <c r="B504" s="665" t="s">
        <v>4626</v>
      </c>
      <c r="C504" s="658"/>
      <c r="D504" s="659"/>
    </row>
    <row r="505" spans="1:4" s="660" customFormat="1" ht="36.75" customHeight="1">
      <c r="A505" s="693"/>
      <c r="B505" s="657" t="s">
        <v>544</v>
      </c>
      <c r="C505" s="658">
        <f>Data!X742</f>
        <v>8200.41</v>
      </c>
      <c r="D505" s="659" t="s">
        <v>2151</v>
      </c>
    </row>
    <row r="506" spans="1:4" s="660" customFormat="1" ht="36.75" customHeight="1">
      <c r="A506" s="693">
        <v>8.1</v>
      </c>
      <c r="B506" s="657" t="s">
        <v>5078</v>
      </c>
      <c r="C506" s="658">
        <f>Data!X744</f>
        <v>8320.26</v>
      </c>
      <c r="D506" s="659" t="s">
        <v>2151</v>
      </c>
    </row>
    <row r="507" spans="1:4" s="660" customFormat="1" ht="36.75" customHeight="1">
      <c r="A507" s="693"/>
      <c r="B507" s="657" t="s">
        <v>547</v>
      </c>
      <c r="C507" s="658">
        <f>Data!X745</f>
        <v>8556.36</v>
      </c>
      <c r="D507" s="659" t="s">
        <v>2151</v>
      </c>
    </row>
    <row r="508" spans="1:4" s="660" customFormat="1" ht="36.75" customHeight="1">
      <c r="A508" s="693"/>
      <c r="B508" s="657" t="s">
        <v>1806</v>
      </c>
      <c r="C508" s="658">
        <f>Data!X746</f>
        <v>8792.4599999999991</v>
      </c>
      <c r="D508" s="659" t="s">
        <v>2151</v>
      </c>
    </row>
    <row r="509" spans="1:4" s="660" customFormat="1" ht="36.75" customHeight="1">
      <c r="A509" s="693"/>
      <c r="B509" s="657" t="s">
        <v>681</v>
      </c>
      <c r="C509" s="658">
        <f>Data!X747</f>
        <v>9028.56</v>
      </c>
      <c r="D509" s="659" t="s">
        <v>2151</v>
      </c>
    </row>
    <row r="510" spans="1:4" s="660" customFormat="1" ht="36.75" customHeight="1">
      <c r="A510" s="693"/>
      <c r="B510" s="657" t="s">
        <v>4009</v>
      </c>
      <c r="C510" s="658">
        <f>Data!X748</f>
        <v>9264.66</v>
      </c>
      <c r="D510" s="659" t="s">
        <v>2151</v>
      </c>
    </row>
    <row r="511" spans="1:4" s="660" customFormat="1" ht="36.75" customHeight="1">
      <c r="A511" s="693"/>
      <c r="B511" s="657" t="s">
        <v>4741</v>
      </c>
      <c r="C511" s="658">
        <f>Data!X749</f>
        <v>9358.86</v>
      </c>
      <c r="D511" s="659" t="s">
        <v>2151</v>
      </c>
    </row>
    <row r="512" spans="1:4" ht="36.75" customHeight="1">
      <c r="A512" s="686" t="s">
        <v>4011</v>
      </c>
      <c r="B512" s="694" t="s">
        <v>3991</v>
      </c>
      <c r="C512" s="654"/>
      <c r="D512" s="652"/>
    </row>
    <row r="513" spans="1:4" ht="36.75" customHeight="1">
      <c r="A513" s="686"/>
      <c r="B513" s="650" t="s">
        <v>544</v>
      </c>
      <c r="C513" s="654">
        <f>Data!X688</f>
        <v>8556.02</v>
      </c>
      <c r="D513" s="652" t="s">
        <v>2151</v>
      </c>
    </row>
    <row r="514" spans="1:4" ht="36.75" customHeight="1">
      <c r="A514" s="686"/>
      <c r="B514" s="650" t="s">
        <v>545</v>
      </c>
      <c r="C514" s="654">
        <f>Data!X690</f>
        <v>8675.8700000000008</v>
      </c>
      <c r="D514" s="652" t="s">
        <v>2151</v>
      </c>
    </row>
    <row r="515" spans="1:4" ht="36.75" customHeight="1">
      <c r="A515" s="686"/>
      <c r="B515" s="650" t="s">
        <v>547</v>
      </c>
      <c r="C515" s="654">
        <f>Data!X691</f>
        <v>8911.9699999999993</v>
      </c>
      <c r="D515" s="652" t="s">
        <v>2151</v>
      </c>
    </row>
    <row r="516" spans="1:4" ht="36.75" customHeight="1">
      <c r="A516" s="686"/>
      <c r="B516" s="650" t="s">
        <v>1806</v>
      </c>
      <c r="C516" s="654">
        <f>Data!X692</f>
        <v>9148.07</v>
      </c>
      <c r="D516" s="652" t="s">
        <v>2151</v>
      </c>
    </row>
    <row r="517" spans="1:4" ht="36.75" customHeight="1">
      <c r="A517" s="686"/>
      <c r="B517" s="650" t="s">
        <v>681</v>
      </c>
      <c r="C517" s="654">
        <f>Data!X693</f>
        <v>9384.17</v>
      </c>
      <c r="D517" s="652" t="s">
        <v>2151</v>
      </c>
    </row>
    <row r="518" spans="1:4" ht="36.75" customHeight="1">
      <c r="A518" s="686"/>
      <c r="B518" s="695" t="s">
        <v>3554</v>
      </c>
      <c r="C518" s="661"/>
      <c r="D518" s="652"/>
    </row>
    <row r="519" spans="1:4" ht="36.75" customHeight="1">
      <c r="A519" s="686"/>
      <c r="B519" s="696" t="s">
        <v>2128</v>
      </c>
      <c r="C519" s="661">
        <f>Data!R1183</f>
        <v>8405.2000000000007</v>
      </c>
      <c r="D519" s="652" t="s">
        <v>2151</v>
      </c>
    </row>
    <row r="520" spans="1:4" ht="36.75" customHeight="1">
      <c r="A520" s="686"/>
      <c r="B520" s="696" t="s">
        <v>3555</v>
      </c>
      <c r="C520" s="661">
        <f>Data!R1184</f>
        <v>8525.0499999999993</v>
      </c>
      <c r="D520" s="652" t="s">
        <v>2151</v>
      </c>
    </row>
    <row r="521" spans="1:4" ht="36.75" customHeight="1">
      <c r="A521" s="686"/>
      <c r="B521" s="664" t="s">
        <v>3556</v>
      </c>
      <c r="C521" s="661"/>
      <c r="D521" s="652"/>
    </row>
    <row r="522" spans="1:4" ht="36.75" customHeight="1">
      <c r="A522" s="686"/>
      <c r="B522" s="650" t="s">
        <v>544</v>
      </c>
      <c r="C522" s="661">
        <f>Data!R1156</f>
        <v>8329.14</v>
      </c>
      <c r="D522" s="652" t="s">
        <v>1197</v>
      </c>
    </row>
    <row r="523" spans="1:4" ht="36.75" customHeight="1">
      <c r="A523" s="686"/>
      <c r="B523" s="650" t="s">
        <v>3597</v>
      </c>
      <c r="C523" s="661">
        <f>Data!R1158</f>
        <v>8448.99</v>
      </c>
      <c r="D523" s="652" t="s">
        <v>1197</v>
      </c>
    </row>
    <row r="524" spans="1:4" ht="36.75" customHeight="1">
      <c r="A524" s="686"/>
      <c r="B524" s="650" t="s">
        <v>547</v>
      </c>
      <c r="C524" s="661">
        <f>Data!R1159</f>
        <v>8685.09</v>
      </c>
      <c r="D524" s="652" t="s">
        <v>1197</v>
      </c>
    </row>
    <row r="525" spans="1:4" ht="36.75" customHeight="1">
      <c r="A525" s="686"/>
      <c r="B525" s="650" t="s">
        <v>1806</v>
      </c>
      <c r="C525" s="661">
        <f>Data!R1160</f>
        <v>8921.19</v>
      </c>
      <c r="D525" s="652" t="s">
        <v>1197</v>
      </c>
    </row>
    <row r="526" spans="1:4" ht="36.75" customHeight="1">
      <c r="A526" s="686"/>
      <c r="B526" s="650" t="s">
        <v>681</v>
      </c>
      <c r="C526" s="661">
        <f>Data!R1161</f>
        <v>9157.2900000000009</v>
      </c>
      <c r="D526" s="652" t="s">
        <v>1197</v>
      </c>
    </row>
    <row r="527" spans="1:4" ht="36.75" customHeight="1">
      <c r="A527" s="686"/>
      <c r="B527" s="650" t="s">
        <v>1064</v>
      </c>
      <c r="C527" s="661">
        <f>Data!R1162</f>
        <v>9393.39</v>
      </c>
      <c r="D527" s="652" t="s">
        <v>1197</v>
      </c>
    </row>
    <row r="528" spans="1:4" ht="36.75" customHeight="1">
      <c r="A528" s="686"/>
      <c r="B528" s="650" t="s">
        <v>3557</v>
      </c>
      <c r="C528" s="661">
        <f>Data!R1163</f>
        <v>9629.49</v>
      </c>
      <c r="D528" s="652" t="s">
        <v>1197</v>
      </c>
    </row>
    <row r="529" spans="1:4" ht="36.75" customHeight="1">
      <c r="A529" s="686"/>
      <c r="B529" s="650" t="s">
        <v>3601</v>
      </c>
      <c r="C529" s="661">
        <f>Data!R1164</f>
        <v>9865.59</v>
      </c>
      <c r="D529" s="652" t="s">
        <v>1197</v>
      </c>
    </row>
    <row r="530" spans="1:4" ht="36.75" customHeight="1">
      <c r="A530" s="686"/>
      <c r="B530" s="650" t="s">
        <v>3558</v>
      </c>
      <c r="C530" s="661">
        <f>Data!R1165</f>
        <v>10101.69</v>
      </c>
      <c r="D530" s="652" t="s">
        <v>1197</v>
      </c>
    </row>
    <row r="531" spans="1:4" ht="36.75" customHeight="1">
      <c r="A531" s="686"/>
      <c r="B531" s="696" t="s">
        <v>3559</v>
      </c>
      <c r="C531" s="661">
        <f>Data!R1166</f>
        <v>10337.790000000001</v>
      </c>
      <c r="D531" s="652" t="s">
        <v>1197</v>
      </c>
    </row>
    <row r="532" spans="1:4" ht="36.75" customHeight="1">
      <c r="A532" s="686"/>
      <c r="B532" s="696" t="s">
        <v>3560</v>
      </c>
      <c r="C532" s="661">
        <f>Data!R1167</f>
        <v>10573.89</v>
      </c>
      <c r="D532" s="652" t="s">
        <v>1197</v>
      </c>
    </row>
    <row r="533" spans="1:4" ht="36.75" customHeight="1">
      <c r="A533" s="686"/>
      <c r="B533" s="696" t="s">
        <v>3561</v>
      </c>
      <c r="C533" s="661">
        <f>Data!R1168</f>
        <v>10809.99</v>
      </c>
      <c r="D533" s="652" t="s">
        <v>1197</v>
      </c>
    </row>
    <row r="534" spans="1:4" ht="36.75" customHeight="1">
      <c r="A534" s="686"/>
      <c r="B534" s="650" t="s">
        <v>3777</v>
      </c>
      <c r="C534" s="661">
        <f>Data!R1169</f>
        <v>11046.09</v>
      </c>
      <c r="D534" s="652" t="s">
        <v>1197</v>
      </c>
    </row>
    <row r="535" spans="1:4" ht="36.75" customHeight="1">
      <c r="A535" s="686"/>
      <c r="B535" s="650" t="s">
        <v>3778</v>
      </c>
      <c r="C535" s="661">
        <f>Data!R1170</f>
        <v>11282.19</v>
      </c>
      <c r="D535" s="652" t="s">
        <v>1197</v>
      </c>
    </row>
    <row r="536" spans="1:4" ht="36.75" customHeight="1">
      <c r="A536" s="686"/>
      <c r="B536" s="650" t="s">
        <v>3782</v>
      </c>
      <c r="C536" s="661">
        <f>Data!R1171</f>
        <v>11518.29</v>
      </c>
      <c r="D536" s="652" t="s">
        <v>1197</v>
      </c>
    </row>
    <row r="537" spans="1:4" ht="36.75" customHeight="1">
      <c r="A537" s="649">
        <v>6.2</v>
      </c>
      <c r="B537" s="664" t="s">
        <v>6202</v>
      </c>
      <c r="C537" s="654">
        <f>Data!AS73</f>
        <v>6860.33</v>
      </c>
      <c r="D537" s="652" t="s">
        <v>1197</v>
      </c>
    </row>
    <row r="538" spans="1:4" ht="36.75" customHeight="1">
      <c r="A538" s="649">
        <v>9.1999999999999993</v>
      </c>
      <c r="B538" s="664" t="s">
        <v>6203</v>
      </c>
      <c r="C538" s="661"/>
      <c r="D538" s="652"/>
    </row>
    <row r="539" spans="1:4" ht="36.75" customHeight="1">
      <c r="A539" s="686"/>
      <c r="B539" s="650" t="s">
        <v>5100</v>
      </c>
      <c r="C539" s="661">
        <f>Data!AS99</f>
        <v>6864.97</v>
      </c>
      <c r="D539" s="652" t="s">
        <v>1197</v>
      </c>
    </row>
    <row r="540" spans="1:4" ht="36.75" customHeight="1">
      <c r="A540" s="686"/>
      <c r="B540" s="650" t="s">
        <v>203</v>
      </c>
      <c r="C540" s="661">
        <f>Data!AS100</f>
        <v>7024.17</v>
      </c>
      <c r="D540" s="652" t="s">
        <v>1197</v>
      </c>
    </row>
    <row r="541" spans="1:4" ht="36.75" customHeight="1">
      <c r="A541" s="686"/>
      <c r="B541" s="650" t="s">
        <v>204</v>
      </c>
      <c r="C541" s="661">
        <f>Data!AS101</f>
        <v>7183.37</v>
      </c>
      <c r="D541" s="652" t="s">
        <v>1197</v>
      </c>
    </row>
    <row r="542" spans="1:4" ht="36.75" customHeight="1">
      <c r="A542" s="686"/>
      <c r="B542" s="650" t="s">
        <v>205</v>
      </c>
      <c r="C542" s="661">
        <f>Data!AS102</f>
        <v>7342.57</v>
      </c>
      <c r="D542" s="652" t="s">
        <v>1197</v>
      </c>
    </row>
    <row r="543" spans="1:4" ht="36.75" customHeight="1">
      <c r="A543" s="686"/>
      <c r="B543" s="650" t="s">
        <v>606</v>
      </c>
      <c r="C543" s="661">
        <f>Data!AS103</f>
        <v>7501.77</v>
      </c>
      <c r="D543" s="652" t="s">
        <v>1197</v>
      </c>
    </row>
    <row r="544" spans="1:4" ht="36.75" customHeight="1">
      <c r="A544" s="686"/>
      <c r="B544" s="650" t="s">
        <v>4737</v>
      </c>
      <c r="C544" s="661">
        <f>Data!AS104</f>
        <v>7660.97</v>
      </c>
      <c r="D544" s="652" t="s">
        <v>1197</v>
      </c>
    </row>
    <row r="545" spans="1:4" ht="36.75" customHeight="1">
      <c r="A545" s="649">
        <v>10.199999999999999</v>
      </c>
      <c r="B545" s="664" t="s">
        <v>6204</v>
      </c>
      <c r="C545" s="661"/>
      <c r="D545" s="652"/>
    </row>
    <row r="546" spans="1:4" ht="36.75" customHeight="1">
      <c r="A546" s="686"/>
      <c r="B546" s="650" t="s">
        <v>4953</v>
      </c>
      <c r="C546" s="661">
        <f>Data!AS153</f>
        <v>866.3</v>
      </c>
      <c r="D546" s="652" t="s">
        <v>2283</v>
      </c>
    </row>
    <row r="547" spans="1:4" ht="36.75" customHeight="1">
      <c r="A547" s="686"/>
      <c r="B547" s="650" t="s">
        <v>5101</v>
      </c>
      <c r="C547" s="661">
        <f>Data!AS155</f>
        <v>874.98</v>
      </c>
      <c r="D547" s="652" t="s">
        <v>2283</v>
      </c>
    </row>
    <row r="548" spans="1:4" ht="36.75" customHeight="1">
      <c r="A548" s="686"/>
      <c r="B548" s="650" t="s">
        <v>547</v>
      </c>
      <c r="C548" s="661">
        <f>Data!AS156</f>
        <v>892.49</v>
      </c>
      <c r="D548" s="652" t="s">
        <v>2283</v>
      </c>
    </row>
    <row r="549" spans="1:4" s="660" customFormat="1" ht="36.75" customHeight="1">
      <c r="A549" s="693"/>
      <c r="B549" s="650" t="s">
        <v>1806</v>
      </c>
      <c r="C549" s="661">
        <f>Data!AS157</f>
        <v>910</v>
      </c>
      <c r="D549" s="652" t="s">
        <v>2283</v>
      </c>
    </row>
    <row r="550" spans="1:4" ht="36.75" customHeight="1">
      <c r="A550" s="686"/>
      <c r="B550" s="650" t="s">
        <v>2215</v>
      </c>
      <c r="C550" s="661">
        <f>Data!AS158</f>
        <v>927.51</v>
      </c>
      <c r="D550" s="652" t="s">
        <v>2283</v>
      </c>
    </row>
    <row r="551" spans="1:4" ht="36.75" customHeight="1">
      <c r="A551" s="686"/>
      <c r="B551" s="650" t="s">
        <v>1064</v>
      </c>
      <c r="C551" s="661">
        <f>Data!AS159</f>
        <v>945.02</v>
      </c>
      <c r="D551" s="652" t="s">
        <v>2283</v>
      </c>
    </row>
    <row r="552" spans="1:4" ht="36.75" customHeight="1">
      <c r="A552" s="686"/>
      <c r="B552" s="650" t="s">
        <v>3557</v>
      </c>
      <c r="C552" s="661">
        <f>Data!AS160</f>
        <v>0</v>
      </c>
      <c r="D552" s="652" t="s">
        <v>2283</v>
      </c>
    </row>
    <row r="553" spans="1:4" ht="36.75" customHeight="1">
      <c r="A553" s="649">
        <v>11.2</v>
      </c>
      <c r="B553" s="664" t="s">
        <v>6205</v>
      </c>
      <c r="C553" s="661"/>
      <c r="D553" s="652"/>
    </row>
    <row r="554" spans="1:4" ht="36.75" customHeight="1">
      <c r="A554" s="686"/>
      <c r="B554" s="650" t="s">
        <v>5100</v>
      </c>
      <c r="C554" s="661">
        <f>Data!AS187</f>
        <v>593.13</v>
      </c>
      <c r="D554" s="652" t="s">
        <v>2283</v>
      </c>
    </row>
    <row r="555" spans="1:4" ht="36.75" customHeight="1">
      <c r="A555" s="686"/>
      <c r="B555" s="650" t="s">
        <v>203</v>
      </c>
      <c r="C555" s="661">
        <f>Data!AS188</f>
        <v>604.27</v>
      </c>
      <c r="D555" s="652" t="s">
        <v>2283</v>
      </c>
    </row>
    <row r="556" spans="1:4" ht="36.75" customHeight="1">
      <c r="A556" s="686"/>
      <c r="B556" s="650" t="s">
        <v>204</v>
      </c>
      <c r="C556" s="661">
        <f>Data!AS189</f>
        <v>615.41</v>
      </c>
      <c r="D556" s="652" t="s">
        <v>2283</v>
      </c>
    </row>
    <row r="557" spans="1:4" ht="36.75" customHeight="1">
      <c r="A557" s="686"/>
      <c r="B557" s="650" t="s">
        <v>205</v>
      </c>
      <c r="C557" s="661">
        <f>Data!AS190</f>
        <v>626.54999999999995</v>
      </c>
      <c r="D557" s="652" t="s">
        <v>2283</v>
      </c>
    </row>
    <row r="558" spans="1:4" ht="36.75" customHeight="1">
      <c r="A558" s="686"/>
      <c r="B558" s="650" t="s">
        <v>606</v>
      </c>
      <c r="C558" s="661">
        <f>Data!AS191</f>
        <v>637.69000000000005</v>
      </c>
      <c r="D558" s="652" t="s">
        <v>2283</v>
      </c>
    </row>
    <row r="559" spans="1:4" ht="36.75" customHeight="1">
      <c r="A559" s="686"/>
      <c r="B559" s="650" t="s">
        <v>3800</v>
      </c>
      <c r="C559" s="661">
        <f>Data!K3515</f>
        <v>3637.19</v>
      </c>
      <c r="D559" s="652" t="s">
        <v>2151</v>
      </c>
    </row>
    <row r="560" spans="1:4" ht="36.75" customHeight="1">
      <c r="A560" s="686"/>
      <c r="B560" s="696" t="s">
        <v>4383</v>
      </c>
      <c r="C560" s="661">
        <f>Data!R154</f>
        <v>381.75</v>
      </c>
      <c r="D560" s="652" t="s">
        <v>1197</v>
      </c>
    </row>
    <row r="561" spans="1:4" ht="36.75" customHeight="1">
      <c r="A561" s="661"/>
      <c r="B561" s="650" t="s">
        <v>3693</v>
      </c>
      <c r="C561" s="654">
        <f>Data!K1442</f>
        <v>276.82</v>
      </c>
      <c r="D561" s="652" t="s">
        <v>2283</v>
      </c>
    </row>
    <row r="562" spans="1:4" s="698" customFormat="1" ht="36.75" customHeight="1">
      <c r="A562" s="697"/>
      <c r="B562" s="650" t="s">
        <v>3691</v>
      </c>
      <c r="C562" s="650">
        <f>Data!R144</f>
        <v>296.60000000000002</v>
      </c>
      <c r="D562" s="650" t="s">
        <v>2151</v>
      </c>
    </row>
    <row r="563" spans="1:4" s="660" customFormat="1" ht="36.75" customHeight="1">
      <c r="A563" s="699"/>
      <c r="B563" s="657" t="s">
        <v>6206</v>
      </c>
      <c r="C563" s="662">
        <f>Data!K368</f>
        <v>6927.7</v>
      </c>
      <c r="D563" s="659" t="s">
        <v>2151</v>
      </c>
    </row>
    <row r="564" spans="1:4" ht="36.75" customHeight="1">
      <c r="A564" s="700"/>
      <c r="B564" s="650" t="s">
        <v>6207</v>
      </c>
      <c r="C564" s="661">
        <f>Data!K369</f>
        <v>7086.9</v>
      </c>
      <c r="D564" s="701" t="s">
        <v>2151</v>
      </c>
    </row>
    <row r="565" spans="1:4" s="660" customFormat="1" ht="36.75" customHeight="1">
      <c r="A565" s="699"/>
      <c r="B565" s="657" t="s">
        <v>6208</v>
      </c>
      <c r="C565" s="662">
        <f>Data!$K$370</f>
        <v>7246.1</v>
      </c>
      <c r="D565" s="659" t="s">
        <v>2151</v>
      </c>
    </row>
    <row r="566" spans="1:4" s="660" customFormat="1" ht="36.75" customHeight="1">
      <c r="A566" s="699"/>
      <c r="B566" s="657" t="s">
        <v>6209</v>
      </c>
      <c r="C566" s="662">
        <f>Data!K371</f>
        <v>7405.3</v>
      </c>
      <c r="D566" s="659" t="s">
        <v>2151</v>
      </c>
    </row>
    <row r="567" spans="1:4" ht="36.75" customHeight="1">
      <c r="A567" s="669"/>
      <c r="B567" s="650" t="s">
        <v>6210</v>
      </c>
      <c r="C567" s="661">
        <f>Data!X88</f>
        <v>161.1</v>
      </c>
      <c r="D567" s="652"/>
    </row>
    <row r="568" spans="1:4" ht="36.75" customHeight="1">
      <c r="A568" s="669"/>
      <c r="B568" s="650" t="s">
        <v>6211</v>
      </c>
      <c r="C568" s="661">
        <f>Data!X118</f>
        <v>74.849999999999994</v>
      </c>
      <c r="D568" s="652"/>
    </row>
    <row r="569" spans="1:4" ht="36.75" customHeight="1">
      <c r="A569" s="669"/>
      <c r="B569" s="650" t="s">
        <v>6212</v>
      </c>
      <c r="C569" s="661">
        <f>Data!X133</f>
        <v>112.28</v>
      </c>
      <c r="D569" s="652"/>
    </row>
    <row r="570" spans="1:4" ht="36.75" customHeight="1">
      <c r="A570" s="686">
        <v>8.4</v>
      </c>
      <c r="B570" s="664" t="s">
        <v>234</v>
      </c>
      <c r="C570" s="661"/>
      <c r="D570" s="652"/>
    </row>
    <row r="571" spans="1:4" ht="36.75" customHeight="1">
      <c r="A571" s="686"/>
      <c r="B571" s="650" t="s">
        <v>2128</v>
      </c>
      <c r="C571" s="661">
        <f>ROUND(Data!K2911,2)</f>
        <v>7309.92</v>
      </c>
      <c r="D571" s="652" t="s">
        <v>2151</v>
      </c>
    </row>
    <row r="572" spans="1:4" ht="36.75" customHeight="1">
      <c r="A572" s="686"/>
      <c r="B572" s="650" t="s">
        <v>2129</v>
      </c>
      <c r="C572" s="661">
        <f>ROUND(Data!K2913,2)</f>
        <v>7429.77</v>
      </c>
      <c r="D572" s="652" t="s">
        <v>2151</v>
      </c>
    </row>
    <row r="573" spans="1:4" ht="36.75" customHeight="1">
      <c r="A573" s="686"/>
      <c r="B573" s="650" t="s">
        <v>2130</v>
      </c>
      <c r="C573" s="661">
        <f>ROUND(Data!K2914,2)</f>
        <v>7665.87</v>
      </c>
      <c r="D573" s="652" t="s">
        <v>2151</v>
      </c>
    </row>
    <row r="574" spans="1:4" ht="36.75" customHeight="1">
      <c r="A574" s="669"/>
      <c r="B574" s="650" t="s">
        <v>2131</v>
      </c>
      <c r="C574" s="661">
        <f>ROUND(Data!K2915,2)</f>
        <v>7901.97</v>
      </c>
      <c r="D574" s="652" t="s">
        <v>2151</v>
      </c>
    </row>
    <row r="575" spans="1:4" ht="36.75" customHeight="1">
      <c r="A575" s="686">
        <v>8.5</v>
      </c>
      <c r="B575" s="664" t="s">
        <v>1692</v>
      </c>
      <c r="C575" s="661"/>
      <c r="D575" s="652"/>
    </row>
    <row r="576" spans="1:4" ht="36.75" customHeight="1">
      <c r="A576" s="686"/>
      <c r="B576" s="650" t="s">
        <v>235</v>
      </c>
      <c r="C576" s="661">
        <f>ROUND(Data!K2931,2)</f>
        <v>691.67</v>
      </c>
      <c r="D576" s="652" t="s">
        <v>826</v>
      </c>
    </row>
    <row r="577" spans="1:4" ht="36.75" customHeight="1">
      <c r="A577" s="686"/>
      <c r="B577" s="650" t="s">
        <v>236</v>
      </c>
      <c r="C577" s="661">
        <f>ROUND(Data!K2940,2)</f>
        <v>695.71</v>
      </c>
      <c r="D577" s="652" t="s">
        <v>826</v>
      </c>
    </row>
    <row r="578" spans="1:4" ht="36.75" customHeight="1">
      <c r="A578" s="649"/>
      <c r="B578" s="650" t="s">
        <v>237</v>
      </c>
      <c r="C578" s="661">
        <f>ROUND(Data!K2950,2)</f>
        <v>699.76</v>
      </c>
      <c r="D578" s="652" t="s">
        <v>826</v>
      </c>
    </row>
    <row r="579" spans="1:4" ht="36.75" customHeight="1">
      <c r="A579" s="669"/>
      <c r="B579" s="664" t="s">
        <v>4489</v>
      </c>
      <c r="C579" s="669"/>
      <c r="D579" s="669"/>
    </row>
    <row r="580" spans="1:4" ht="36.75" customHeight="1">
      <c r="A580" s="669"/>
      <c r="B580" s="664" t="s">
        <v>4130</v>
      </c>
      <c r="C580" s="650">
        <f>'pile data '!F17</f>
        <v>3255.6</v>
      </c>
      <c r="D580" s="650" t="s">
        <v>826</v>
      </c>
    </row>
    <row r="581" spans="1:4" ht="36.75" customHeight="1">
      <c r="A581" s="669"/>
      <c r="B581" s="664" t="s">
        <v>4131</v>
      </c>
      <c r="C581" s="650">
        <f>'pile data '!F81</f>
        <v>4083.09</v>
      </c>
      <c r="D581" s="650" t="s">
        <v>826</v>
      </c>
    </row>
    <row r="582" spans="1:4" ht="36.75" customHeight="1">
      <c r="A582" s="649"/>
      <c r="B582" s="664" t="s">
        <v>4132</v>
      </c>
      <c r="C582" s="650">
        <f>'pile data '!F141</f>
        <v>2494.38</v>
      </c>
      <c r="D582" s="650" t="s">
        <v>826</v>
      </c>
    </row>
    <row r="583" spans="1:4" ht="36.75" customHeight="1">
      <c r="A583" s="649"/>
      <c r="B583" s="702" t="s">
        <v>4490</v>
      </c>
      <c r="C583" s="661"/>
      <c r="D583" s="652"/>
    </row>
    <row r="584" spans="1:4" ht="36.75" customHeight="1">
      <c r="A584" s="649"/>
      <c r="B584" s="664" t="s">
        <v>4130</v>
      </c>
      <c r="C584" s="703">
        <f>'pile data '!F17</f>
        <v>3255.6</v>
      </c>
      <c r="D584" s="704" t="s">
        <v>826</v>
      </c>
    </row>
    <row r="585" spans="1:4" ht="36.75" customHeight="1">
      <c r="A585" s="649"/>
      <c r="B585" s="664" t="s">
        <v>4131</v>
      </c>
      <c r="C585" s="661">
        <f>'pile data '!F92</f>
        <v>1813.89</v>
      </c>
      <c r="D585" s="652"/>
    </row>
    <row r="586" spans="1:4" ht="36.75" customHeight="1">
      <c r="A586" s="649"/>
      <c r="B586" s="664" t="s">
        <v>4132</v>
      </c>
      <c r="C586" s="703">
        <f>'pile data '!F152</f>
        <v>816.25</v>
      </c>
      <c r="D586" s="704" t="s">
        <v>826</v>
      </c>
    </row>
    <row r="587" spans="1:4" ht="36.75" customHeight="1">
      <c r="A587" s="649"/>
      <c r="B587" s="702" t="s">
        <v>3780</v>
      </c>
      <c r="C587" s="703">
        <v>70000</v>
      </c>
      <c r="D587" s="705" t="s">
        <v>1432</v>
      </c>
    </row>
    <row r="588" spans="1:4" ht="36.75" customHeight="1">
      <c r="A588" s="649"/>
      <c r="B588" s="702" t="s">
        <v>3781</v>
      </c>
      <c r="C588" s="703">
        <v>50000</v>
      </c>
      <c r="D588" s="705" t="s">
        <v>282</v>
      </c>
    </row>
    <row r="589" spans="1:4" ht="36.75" customHeight="1">
      <c r="A589" s="649"/>
      <c r="B589" s="702" t="s">
        <v>3784</v>
      </c>
      <c r="C589" s="703">
        <f>Data!K2448</f>
        <v>764.62</v>
      </c>
      <c r="D589" s="705" t="s">
        <v>2283</v>
      </c>
    </row>
    <row r="590" spans="1:4" ht="36.75" customHeight="1">
      <c r="A590" s="706">
        <v>3.8</v>
      </c>
      <c r="B590" s="690" t="s">
        <v>4385</v>
      </c>
      <c r="C590" s="690">
        <f>Data!R204</f>
        <v>5840.67</v>
      </c>
      <c r="D590" s="707" t="s">
        <v>2151</v>
      </c>
    </row>
    <row r="591" spans="1:4" ht="36.75" customHeight="1">
      <c r="A591" s="690">
        <v>3.3</v>
      </c>
      <c r="B591" s="690" t="s">
        <v>4384</v>
      </c>
      <c r="C591" s="690">
        <f>Data!R240</f>
        <v>5137.2299999999996</v>
      </c>
      <c r="D591" s="707" t="s">
        <v>2151</v>
      </c>
    </row>
    <row r="592" spans="1:4" ht="36.75" customHeight="1">
      <c r="A592" s="690"/>
      <c r="B592" s="690" t="s">
        <v>3516</v>
      </c>
      <c r="C592" s="690">
        <f>Data!X204</f>
        <v>5463.39</v>
      </c>
      <c r="D592" s="705" t="s">
        <v>2151</v>
      </c>
    </row>
    <row r="593" spans="1:4" ht="36.75" customHeight="1">
      <c r="A593" s="649">
        <v>18.100000000000001</v>
      </c>
      <c r="B593" s="664" t="s">
        <v>197</v>
      </c>
      <c r="C593" s="654"/>
      <c r="D593" s="652"/>
    </row>
    <row r="594" spans="1:4" ht="36.75" customHeight="1">
      <c r="A594" s="649"/>
      <c r="B594" s="650" t="s">
        <v>1827</v>
      </c>
      <c r="C594" s="654">
        <f>ROUND(Data!I2354,2)</f>
        <v>848.08</v>
      </c>
      <c r="D594" s="652" t="s">
        <v>2283</v>
      </c>
    </row>
    <row r="595" spans="1:4" ht="36.75" customHeight="1">
      <c r="A595" s="649"/>
      <c r="B595" s="650" t="s">
        <v>1075</v>
      </c>
      <c r="C595" s="654">
        <f>ROUND(Data!I2356,2)</f>
        <v>946.62</v>
      </c>
      <c r="D595" s="652" t="s">
        <v>2283</v>
      </c>
    </row>
    <row r="596" spans="1:4" ht="36.75" customHeight="1">
      <c r="A596" s="650"/>
      <c r="B596" s="650" t="s">
        <v>1655</v>
      </c>
      <c r="C596" s="654">
        <f>ROUND(Data!I2358,2)</f>
        <v>1135.94</v>
      </c>
      <c r="D596" s="652" t="s">
        <v>2283</v>
      </c>
    </row>
    <row r="597" spans="1:4" ht="36.75" customHeight="1">
      <c r="A597" s="661"/>
      <c r="B597" s="650" t="s">
        <v>3990</v>
      </c>
      <c r="C597" s="661">
        <f>Data!I2360</f>
        <v>1041.28</v>
      </c>
      <c r="D597" s="652" t="s">
        <v>2283</v>
      </c>
    </row>
    <row r="598" spans="1:4" ht="36.75" customHeight="1">
      <c r="A598" s="669"/>
      <c r="B598" s="650" t="s">
        <v>3804</v>
      </c>
      <c r="C598" s="654">
        <f>C596*2</f>
        <v>2271.88</v>
      </c>
      <c r="D598" s="652" t="s">
        <v>2283</v>
      </c>
    </row>
    <row r="599" spans="1:4" ht="36.75" customHeight="1">
      <c r="A599" s="669"/>
      <c r="B599" s="650" t="s">
        <v>3807</v>
      </c>
      <c r="C599" s="654">
        <f>C595*1.5</f>
        <v>1419.93</v>
      </c>
      <c r="D599" s="652" t="s">
        <v>2283</v>
      </c>
    </row>
    <row r="600" spans="1:4" ht="36.75" customHeight="1">
      <c r="A600" s="669"/>
      <c r="B600" s="650" t="s">
        <v>3594</v>
      </c>
      <c r="C600" s="661">
        <f>C595*2</f>
        <v>1893.24</v>
      </c>
      <c r="D600" s="652" t="s">
        <v>2283</v>
      </c>
    </row>
    <row r="601" spans="1:4" ht="36.75" customHeight="1">
      <c r="A601" s="649">
        <v>21.6</v>
      </c>
      <c r="B601" s="664" t="s">
        <v>4676</v>
      </c>
      <c r="C601" s="654"/>
      <c r="D601" s="652"/>
    </row>
    <row r="602" spans="1:4" ht="36.75" customHeight="1">
      <c r="A602" s="685"/>
      <c r="B602" s="650" t="s">
        <v>573</v>
      </c>
      <c r="C602" s="654">
        <f>ROUND(Data!K889,2)</f>
        <v>2773.04</v>
      </c>
      <c r="D602" s="654" t="s">
        <v>1398</v>
      </c>
    </row>
    <row r="603" spans="1:4" ht="36.75" customHeight="1">
      <c r="A603" s="685"/>
      <c r="B603" s="650" t="s">
        <v>3790</v>
      </c>
      <c r="C603" s="654">
        <f>Data!R864</f>
        <v>3314.59</v>
      </c>
      <c r="D603" s="654" t="s">
        <v>1398</v>
      </c>
    </row>
    <row r="604" spans="1:4" ht="36.75" customHeight="1">
      <c r="A604" s="685"/>
      <c r="B604" s="650" t="s">
        <v>1904</v>
      </c>
      <c r="C604" s="654">
        <f>ROUND(Data!K871,2)</f>
        <v>2794.93</v>
      </c>
      <c r="D604" s="654" t="s">
        <v>1398</v>
      </c>
    </row>
    <row r="605" spans="1:4" ht="36.75" customHeight="1">
      <c r="A605" s="685"/>
      <c r="B605" s="650" t="s">
        <v>3694</v>
      </c>
      <c r="C605" s="654">
        <f>Data!K905</f>
        <v>2735.69</v>
      </c>
      <c r="D605" s="654" t="s">
        <v>1398</v>
      </c>
    </row>
    <row r="606" spans="1:4" ht="36.75" customHeight="1">
      <c r="A606" s="669"/>
      <c r="B606" s="664" t="s">
        <v>3828</v>
      </c>
      <c r="C606" s="661"/>
      <c r="D606" s="652"/>
    </row>
    <row r="607" spans="1:4" ht="36.75" customHeight="1">
      <c r="A607" s="669"/>
      <c r="B607" s="650" t="s">
        <v>1367</v>
      </c>
      <c r="C607" s="661">
        <f>Data!K1081</f>
        <v>3597.23</v>
      </c>
      <c r="D607" s="652" t="s">
        <v>1842</v>
      </c>
    </row>
    <row r="608" spans="1:4" ht="36.75" customHeight="1">
      <c r="A608" s="669"/>
      <c r="B608" s="650" t="s">
        <v>270</v>
      </c>
      <c r="C608" s="661"/>
      <c r="D608" s="652" t="s">
        <v>1842</v>
      </c>
    </row>
    <row r="609" spans="1:4" ht="36.75" customHeight="1">
      <c r="A609" s="669"/>
      <c r="B609" s="650" t="s">
        <v>271</v>
      </c>
      <c r="C609" s="661">
        <f>Data!K1097</f>
        <v>3796.08</v>
      </c>
      <c r="D609" s="652" t="s">
        <v>1842</v>
      </c>
    </row>
    <row r="610" spans="1:4" ht="36.75" customHeight="1">
      <c r="A610" s="669"/>
      <c r="B610" s="650" t="s">
        <v>272</v>
      </c>
      <c r="C610" s="661">
        <f>Data!K1112</f>
        <v>2804.85</v>
      </c>
      <c r="D610" s="652" t="s">
        <v>1842</v>
      </c>
    </row>
    <row r="611" spans="1:4" ht="36.75" customHeight="1">
      <c r="A611" s="669"/>
      <c r="B611" s="650" t="s">
        <v>3811</v>
      </c>
      <c r="C611" s="661">
        <v>2203.2800000000002</v>
      </c>
      <c r="D611" s="652" t="s">
        <v>1842</v>
      </c>
    </row>
    <row r="612" spans="1:4" s="660" customFormat="1" ht="36.75" customHeight="1">
      <c r="A612" s="693" t="s">
        <v>1693</v>
      </c>
      <c r="B612" s="657" t="s">
        <v>1299</v>
      </c>
      <c r="C612" s="708">
        <f>Data!K2877</f>
        <v>1921.32</v>
      </c>
      <c r="D612" s="709" t="s">
        <v>2283</v>
      </c>
    </row>
    <row r="613" spans="1:4" ht="36.75" customHeight="1">
      <c r="A613" s="686"/>
      <c r="B613" s="650" t="s">
        <v>1520</v>
      </c>
      <c r="C613" s="654">
        <f>ROUND(Data!K3114,2)</f>
        <v>4253.0600000000004</v>
      </c>
      <c r="D613" s="652" t="s">
        <v>2283</v>
      </c>
    </row>
    <row r="614" spans="1:4" s="714" customFormat="1" ht="36.75" customHeight="1">
      <c r="A614" s="710">
        <v>22.8</v>
      </c>
      <c r="B614" s="711" t="s">
        <v>1987</v>
      </c>
      <c r="C614" s="712"/>
      <c r="D614" s="713"/>
    </row>
    <row r="615" spans="1:4" s="714" customFormat="1" ht="36.75" customHeight="1">
      <c r="A615" s="715"/>
      <c r="B615" s="711" t="s">
        <v>1988</v>
      </c>
      <c r="C615" s="712">
        <f>ROUND(Data!K2845,2)</f>
        <v>2592.73</v>
      </c>
      <c r="D615" s="713" t="s">
        <v>2283</v>
      </c>
    </row>
    <row r="616" spans="1:4" s="714" customFormat="1" ht="36.75" customHeight="1">
      <c r="A616" s="715"/>
      <c r="B616" s="711" t="s">
        <v>696</v>
      </c>
      <c r="C616" s="712">
        <f>ROUND(Data!K2981,2)</f>
        <v>2638.65</v>
      </c>
      <c r="D616" s="713" t="s">
        <v>2283</v>
      </c>
    </row>
    <row r="617" spans="1:4" s="714" customFormat="1" ht="36.75" customHeight="1">
      <c r="A617" s="716"/>
      <c r="B617" s="711" t="s">
        <v>229</v>
      </c>
      <c r="C617" s="712"/>
      <c r="D617" s="713" t="s">
        <v>2283</v>
      </c>
    </row>
    <row r="618" spans="1:4" ht="36.75" customHeight="1">
      <c r="A618" s="661"/>
      <c r="B618" s="664" t="s">
        <v>5138</v>
      </c>
      <c r="C618" s="654"/>
      <c r="D618" s="652"/>
    </row>
    <row r="619" spans="1:4" s="660" customFormat="1" ht="36.75" customHeight="1">
      <c r="A619" s="662"/>
      <c r="B619" s="657" t="s">
        <v>4377</v>
      </c>
      <c r="C619" s="717">
        <f>ROUND(Data!K2827,2)</f>
        <v>6687.18</v>
      </c>
      <c r="D619" s="659" t="s">
        <v>2283</v>
      </c>
    </row>
    <row r="620" spans="1:4" ht="36.75" customHeight="1">
      <c r="A620" s="669"/>
      <c r="B620" s="650" t="s">
        <v>3595</v>
      </c>
      <c r="C620" s="661"/>
      <c r="D620" s="652"/>
    </row>
    <row r="621" spans="1:4" ht="36.75" customHeight="1">
      <c r="A621" s="669"/>
      <c r="B621" s="650" t="s">
        <v>4378</v>
      </c>
      <c r="C621" s="661">
        <f>Data!R2867</f>
        <v>5747.88</v>
      </c>
      <c r="D621" s="652" t="s">
        <v>2283</v>
      </c>
    </row>
    <row r="622" spans="1:4" ht="36.75" customHeight="1">
      <c r="A622" s="669"/>
      <c r="B622" s="650" t="s">
        <v>4670</v>
      </c>
      <c r="C622" s="661">
        <f>Data!R2834</f>
        <v>6050.31</v>
      </c>
      <c r="D622" s="652" t="s">
        <v>2283</v>
      </c>
    </row>
    <row r="623" spans="1:4" ht="36.75" customHeight="1">
      <c r="A623" s="669"/>
      <c r="B623" s="650" t="s">
        <v>4678</v>
      </c>
      <c r="C623" s="679">
        <f>Data!K964</f>
        <v>5030.8599999999997</v>
      </c>
      <c r="D623" s="652" t="s">
        <v>2283</v>
      </c>
    </row>
    <row r="624" spans="1:4" ht="36.75" customHeight="1">
      <c r="A624" s="669"/>
      <c r="B624" s="650" t="s">
        <v>5137</v>
      </c>
      <c r="C624" s="718">
        <f>Data!K1000</f>
        <v>5046.57</v>
      </c>
      <c r="D624" s="652" t="s">
        <v>2283</v>
      </c>
    </row>
    <row r="625" spans="1:4" ht="36.75" customHeight="1">
      <c r="A625" s="669"/>
      <c r="B625" s="664" t="s">
        <v>4379</v>
      </c>
      <c r="C625" s="661"/>
      <c r="D625" s="652"/>
    </row>
    <row r="626" spans="1:4" ht="36.75" customHeight="1">
      <c r="A626" s="669"/>
      <c r="B626" s="650" t="s">
        <v>6213</v>
      </c>
      <c r="C626" s="661">
        <f>Data!K3434</f>
        <v>5266.65</v>
      </c>
      <c r="D626" s="652" t="s">
        <v>2283</v>
      </c>
    </row>
    <row r="627" spans="1:4" ht="36.75" customHeight="1">
      <c r="A627" s="669"/>
      <c r="B627" s="690" t="s">
        <v>6214</v>
      </c>
      <c r="C627" s="661">
        <f>Data!AG2629</f>
        <v>5871.42</v>
      </c>
      <c r="D627" s="652" t="s">
        <v>2283</v>
      </c>
    </row>
    <row r="628" spans="1:4" ht="36.75" customHeight="1">
      <c r="A628" s="669"/>
      <c r="B628" s="650" t="s">
        <v>6215</v>
      </c>
      <c r="C628" s="662">
        <v>8756.6299999999992</v>
      </c>
      <c r="D628" s="719" t="s">
        <v>2283</v>
      </c>
    </row>
    <row r="629" spans="1:4" ht="36.75" customHeight="1">
      <c r="A629" s="669"/>
      <c r="B629" s="650" t="s">
        <v>6216</v>
      </c>
      <c r="C629" s="661">
        <f>Data!R3203</f>
        <v>6220.61</v>
      </c>
      <c r="D629" s="652" t="s">
        <v>2283</v>
      </c>
    </row>
    <row r="630" spans="1:4" ht="36.75" customHeight="1">
      <c r="A630" s="669"/>
      <c r="B630" s="720" t="s">
        <v>6217</v>
      </c>
      <c r="C630" s="661">
        <f>Data!K2647</f>
        <v>6538.42</v>
      </c>
      <c r="D630" s="652" t="s">
        <v>2283</v>
      </c>
    </row>
    <row r="631" spans="1:4" ht="36.75" customHeight="1">
      <c r="A631" s="669"/>
      <c r="B631" s="690" t="s">
        <v>6218</v>
      </c>
      <c r="C631" s="661">
        <f>Data!R2654</f>
        <v>7153.15</v>
      </c>
      <c r="D631" s="652" t="s">
        <v>2283</v>
      </c>
    </row>
    <row r="632" spans="1:4" ht="36.75" customHeight="1">
      <c r="A632" s="669"/>
      <c r="B632" s="721" t="s">
        <v>6219</v>
      </c>
      <c r="C632" s="661">
        <f>'Sliding and french window'!G219</f>
        <v>27750</v>
      </c>
      <c r="D632" s="652" t="s">
        <v>1398</v>
      </c>
    </row>
    <row r="633" spans="1:4" ht="36.75" customHeight="1">
      <c r="A633" s="669"/>
      <c r="B633" s="665" t="s">
        <v>5158</v>
      </c>
      <c r="C633" s="669"/>
      <c r="D633" s="669"/>
    </row>
    <row r="634" spans="1:4" ht="36.75" customHeight="1">
      <c r="A634" s="669"/>
      <c r="B634" s="650" t="s">
        <v>5135</v>
      </c>
      <c r="C634" s="662">
        <v>3346.03</v>
      </c>
      <c r="D634" s="652" t="s">
        <v>233</v>
      </c>
    </row>
    <row r="635" spans="1:4" ht="36.75" customHeight="1">
      <c r="A635" s="669"/>
      <c r="B635" s="650" t="s">
        <v>5136</v>
      </c>
      <c r="C635" s="684">
        <v>2819.29</v>
      </c>
      <c r="D635" s="652" t="s">
        <v>233</v>
      </c>
    </row>
    <row r="636" spans="1:4" ht="36.75" customHeight="1">
      <c r="A636" s="661"/>
      <c r="B636" s="650" t="s">
        <v>5155</v>
      </c>
      <c r="C636" s="684">
        <v>2596.6799999999998</v>
      </c>
      <c r="D636" s="652" t="s">
        <v>2283</v>
      </c>
    </row>
    <row r="637" spans="1:4" ht="36.75" customHeight="1">
      <c r="A637" s="669"/>
      <c r="B637" s="650" t="s">
        <v>4380</v>
      </c>
      <c r="C637" s="658">
        <f>Data!R1000</f>
        <v>4068.54</v>
      </c>
      <c r="D637" s="658" t="s">
        <v>2283</v>
      </c>
    </row>
    <row r="638" spans="1:4" ht="36.75" customHeight="1">
      <c r="A638" s="669"/>
      <c r="B638" s="650" t="s">
        <v>4964</v>
      </c>
      <c r="C638" s="661">
        <v>8847.7900000000009</v>
      </c>
      <c r="D638" s="652" t="s">
        <v>2283</v>
      </c>
    </row>
    <row r="639" spans="1:4" ht="36.75" customHeight="1">
      <c r="A639" s="686" t="s">
        <v>3520</v>
      </c>
      <c r="B639" s="650" t="s">
        <v>4347</v>
      </c>
      <c r="C639" s="654">
        <f>Data!C704</f>
        <v>3325</v>
      </c>
      <c r="D639" s="652" t="s">
        <v>2283</v>
      </c>
    </row>
    <row r="640" spans="1:4" s="660" customFormat="1" ht="36.75" customHeight="1">
      <c r="A640" s="722" t="s">
        <v>697</v>
      </c>
      <c r="B640" s="657" t="s">
        <v>5134</v>
      </c>
      <c r="C640" s="658">
        <f>ROUND(Data!K1185,2)</f>
        <v>835.7</v>
      </c>
      <c r="D640" s="659" t="s">
        <v>2283</v>
      </c>
    </row>
    <row r="641" spans="1:4" ht="36.75" customHeight="1">
      <c r="A641" s="682"/>
      <c r="B641" s="664" t="s">
        <v>226</v>
      </c>
      <c r="C641" s="654"/>
      <c r="D641" s="652"/>
    </row>
    <row r="642" spans="1:4" ht="36.75" customHeight="1">
      <c r="A642" s="650"/>
      <c r="B642" s="650" t="s">
        <v>1252</v>
      </c>
      <c r="C642" s="654">
        <f>ROUND(Data!K628,2)</f>
        <v>601.21</v>
      </c>
      <c r="D642" s="652" t="s">
        <v>1842</v>
      </c>
    </row>
    <row r="643" spans="1:4" ht="36.75" customHeight="1">
      <c r="A643" s="650"/>
      <c r="B643" s="650" t="s">
        <v>1386</v>
      </c>
      <c r="C643" s="654">
        <f>ROUND(Data!K629,2)</f>
        <v>605.92999999999995</v>
      </c>
      <c r="D643" s="652" t="s">
        <v>1842</v>
      </c>
    </row>
    <row r="644" spans="1:4" ht="36.75" customHeight="1">
      <c r="A644" s="650"/>
      <c r="B644" s="650" t="s">
        <v>1434</v>
      </c>
      <c r="C644" s="654">
        <f>ROUND(Data!K630,2)</f>
        <v>610.65</v>
      </c>
      <c r="D644" s="652" t="s">
        <v>1842</v>
      </c>
    </row>
    <row r="645" spans="1:4" ht="36.75" customHeight="1">
      <c r="A645" s="650"/>
      <c r="B645" s="650" t="s">
        <v>1324</v>
      </c>
      <c r="C645" s="654">
        <f>ROUND(Data!K631,2)</f>
        <v>615.37</v>
      </c>
      <c r="D645" s="652" t="s">
        <v>1842</v>
      </c>
    </row>
    <row r="646" spans="1:4" ht="36.75" customHeight="1">
      <c r="A646" s="669"/>
      <c r="B646" s="650" t="s">
        <v>1078</v>
      </c>
      <c r="C646" s="661">
        <f>ROUND(Data!K632,2)</f>
        <v>620.09</v>
      </c>
      <c r="D646" s="652" t="s">
        <v>1842</v>
      </c>
    </row>
    <row r="647" spans="1:4" ht="36.75" customHeight="1">
      <c r="A647" s="669"/>
      <c r="B647" s="664" t="s">
        <v>3305</v>
      </c>
      <c r="C647" s="661"/>
      <c r="D647" s="652"/>
    </row>
    <row r="648" spans="1:4" ht="36.75" customHeight="1">
      <c r="A648" s="669"/>
      <c r="B648" s="650" t="s">
        <v>3622</v>
      </c>
      <c r="C648" s="661">
        <f>Data!K590</f>
        <v>556.1</v>
      </c>
      <c r="D648" s="652" t="s">
        <v>1842</v>
      </c>
    </row>
    <row r="649" spans="1:4" ht="36.75" customHeight="1">
      <c r="A649" s="669"/>
      <c r="B649" s="650" t="s">
        <v>1386</v>
      </c>
      <c r="C649" s="661">
        <f>Data!K591</f>
        <v>560.82000000000005</v>
      </c>
      <c r="D649" s="652" t="s">
        <v>1842</v>
      </c>
    </row>
    <row r="650" spans="1:4" ht="36.75" customHeight="1">
      <c r="A650" s="669"/>
      <c r="B650" s="650" t="s">
        <v>1434</v>
      </c>
      <c r="C650" s="661">
        <f>Data!K592</f>
        <v>565.54</v>
      </c>
      <c r="D650" s="652" t="s">
        <v>1842</v>
      </c>
    </row>
    <row r="651" spans="1:4" ht="36.75" customHeight="1">
      <c r="A651" s="669"/>
      <c r="B651" s="650" t="s">
        <v>1324</v>
      </c>
      <c r="C651" s="661">
        <f>Data!K593</f>
        <v>570.26</v>
      </c>
      <c r="D651" s="652" t="s">
        <v>1842</v>
      </c>
    </row>
    <row r="652" spans="1:4" ht="36.75" customHeight="1">
      <c r="A652" s="669"/>
      <c r="B652" s="650" t="s">
        <v>1078</v>
      </c>
      <c r="C652" s="661">
        <f>Data!K594</f>
        <v>574.98</v>
      </c>
      <c r="D652" s="652" t="s">
        <v>1842</v>
      </c>
    </row>
    <row r="653" spans="1:4" ht="36.75" customHeight="1">
      <c r="A653" s="669"/>
      <c r="B653" s="664" t="s">
        <v>676</v>
      </c>
      <c r="C653" s="661"/>
      <c r="D653" s="652"/>
    </row>
    <row r="654" spans="1:4" ht="36.75" customHeight="1">
      <c r="A654" s="669"/>
      <c r="B654" s="650" t="s">
        <v>1252</v>
      </c>
      <c r="C654" s="661">
        <f>Data!X590</f>
        <v>589.79</v>
      </c>
      <c r="D654" s="652" t="s">
        <v>1842</v>
      </c>
    </row>
    <row r="655" spans="1:4" ht="36.75" customHeight="1">
      <c r="A655" s="669"/>
      <c r="B655" s="650" t="s">
        <v>1386</v>
      </c>
      <c r="C655" s="661">
        <f>Data!X591</f>
        <v>599.23</v>
      </c>
      <c r="D655" s="652" t="s">
        <v>1842</v>
      </c>
    </row>
    <row r="656" spans="1:4" ht="36.75" customHeight="1">
      <c r="A656" s="669"/>
      <c r="B656" s="650" t="s">
        <v>1434</v>
      </c>
      <c r="C656" s="661">
        <f>Data!X591</f>
        <v>599.23</v>
      </c>
      <c r="D656" s="652" t="s">
        <v>1842</v>
      </c>
    </row>
    <row r="657" spans="1:4" ht="36.75" customHeight="1">
      <c r="A657" s="669"/>
      <c r="B657" s="650" t="s">
        <v>1324</v>
      </c>
      <c r="C657" s="661">
        <f>Data!X592</f>
        <v>608.66999999999996</v>
      </c>
      <c r="D657" s="652" t="s">
        <v>1842</v>
      </c>
    </row>
    <row r="658" spans="1:4" ht="36.75" customHeight="1">
      <c r="A658" s="669"/>
      <c r="B658" s="650" t="s">
        <v>1078</v>
      </c>
      <c r="C658" s="661">
        <f>Data!X593</f>
        <v>618.11</v>
      </c>
      <c r="D658" s="652"/>
    </row>
    <row r="659" spans="1:4" ht="36.75" customHeight="1">
      <c r="A659" s="669"/>
      <c r="B659" s="664" t="s">
        <v>3856</v>
      </c>
      <c r="C659" s="661"/>
      <c r="D659" s="652"/>
    </row>
    <row r="660" spans="1:4" ht="36.75" customHeight="1">
      <c r="A660" s="669"/>
      <c r="B660" s="650" t="s">
        <v>1252</v>
      </c>
      <c r="C660" s="661">
        <f>Data!K612</f>
        <v>2072.79</v>
      </c>
      <c r="D660" s="652" t="s">
        <v>1842</v>
      </c>
    </row>
    <row r="661" spans="1:4" ht="36.75" customHeight="1">
      <c r="A661" s="669"/>
      <c r="B661" s="650" t="s">
        <v>1386</v>
      </c>
      <c r="C661" s="661">
        <f>Data!K613</f>
        <v>2082.23</v>
      </c>
      <c r="D661" s="652" t="s">
        <v>1842</v>
      </c>
    </row>
    <row r="662" spans="1:4" ht="36.75" customHeight="1">
      <c r="A662" s="669"/>
      <c r="B662" s="650" t="s">
        <v>1434</v>
      </c>
      <c r="C662" s="661">
        <f>Data!K614</f>
        <v>2091.67</v>
      </c>
      <c r="D662" s="652" t="s">
        <v>1842</v>
      </c>
    </row>
    <row r="663" spans="1:4" ht="36.75" customHeight="1">
      <c r="A663" s="669"/>
      <c r="B663" s="650" t="s">
        <v>1324</v>
      </c>
      <c r="C663" s="661">
        <f>Data!K615</f>
        <v>2101.11</v>
      </c>
      <c r="D663" s="652" t="s">
        <v>1842</v>
      </c>
    </row>
    <row r="664" spans="1:4" ht="36.75" customHeight="1">
      <c r="A664" s="669"/>
      <c r="B664" s="650" t="s">
        <v>1078</v>
      </c>
      <c r="C664" s="661">
        <f>Data!K616</f>
        <v>2110.5500000000002</v>
      </c>
      <c r="D664" s="652" t="s">
        <v>1842</v>
      </c>
    </row>
    <row r="665" spans="1:4" ht="36.75" customHeight="1">
      <c r="A665" s="649">
        <v>29.8</v>
      </c>
      <c r="B665" s="650" t="s">
        <v>4944</v>
      </c>
      <c r="C665" s="654">
        <f>ROUND(Data!K1278,2)</f>
        <v>1376.6</v>
      </c>
      <c r="D665" s="652" t="s">
        <v>2283</v>
      </c>
    </row>
    <row r="666" spans="1:4" ht="36.75" customHeight="1">
      <c r="A666" s="649"/>
      <c r="B666" s="650" t="s">
        <v>2174</v>
      </c>
      <c r="C666" s="661">
        <f>ROUND(Data!K1264,2)</f>
        <v>1210.57</v>
      </c>
      <c r="D666" s="652" t="s">
        <v>2283</v>
      </c>
    </row>
    <row r="667" spans="1:4" ht="36.75" customHeight="1">
      <c r="A667" s="649">
        <v>29.9</v>
      </c>
      <c r="B667" s="650" t="s">
        <v>1697</v>
      </c>
      <c r="C667" s="654">
        <f>ROUND(Data!K1264,2)</f>
        <v>1210.57</v>
      </c>
      <c r="D667" s="652" t="s">
        <v>2283</v>
      </c>
    </row>
    <row r="668" spans="1:4" s="660" customFormat="1" ht="36.75" customHeight="1">
      <c r="A668" s="656">
        <v>38.4</v>
      </c>
      <c r="B668" s="657" t="s">
        <v>1698</v>
      </c>
      <c r="C668" s="658">
        <f>Data!K2725</f>
        <v>130.27000000000001</v>
      </c>
      <c r="D668" s="659" t="s">
        <v>2283</v>
      </c>
    </row>
    <row r="669" spans="1:4" ht="36.75" customHeight="1">
      <c r="A669" s="649">
        <v>38.5</v>
      </c>
      <c r="B669" s="650" t="s">
        <v>31</v>
      </c>
      <c r="C669" s="661">
        <f>ROUND(Data!K1526,2)</f>
        <v>163.93</v>
      </c>
      <c r="D669" s="652" t="s">
        <v>2283</v>
      </c>
    </row>
    <row r="670" spans="1:4" ht="36.75" customHeight="1">
      <c r="A670" s="649">
        <v>38.6</v>
      </c>
      <c r="B670" s="650" t="s">
        <v>1699</v>
      </c>
      <c r="C670" s="654">
        <f>ROUND(Data!K2716,2)</f>
        <v>61.63</v>
      </c>
      <c r="D670" s="652" t="s">
        <v>2283</v>
      </c>
    </row>
    <row r="671" spans="1:4" ht="36.75" customHeight="1">
      <c r="A671" s="649">
        <v>42</v>
      </c>
      <c r="B671" s="650" t="s">
        <v>6220</v>
      </c>
      <c r="C671" s="654">
        <f>ROUND(Data!K1582,2)</f>
        <v>90882</v>
      </c>
      <c r="D671" s="652" t="s">
        <v>528</v>
      </c>
    </row>
    <row r="672" spans="1:4" s="660" customFormat="1" ht="36.75" customHeight="1">
      <c r="A672" s="656">
        <v>43</v>
      </c>
      <c r="B672" s="657" t="s">
        <v>6221</v>
      </c>
      <c r="C672" s="662">
        <f>ROUND(Data!K1608,2)</f>
        <v>88873.5</v>
      </c>
      <c r="D672" s="659" t="s">
        <v>528</v>
      </c>
    </row>
    <row r="673" spans="1:4" s="660" customFormat="1" ht="36.75" customHeight="1">
      <c r="A673" s="656">
        <v>44.6</v>
      </c>
      <c r="B673" s="657" t="s">
        <v>6222</v>
      </c>
      <c r="C673" s="658">
        <f>ROUND(Data!K1638,2)</f>
        <v>343.11</v>
      </c>
      <c r="D673" s="659" t="s">
        <v>826</v>
      </c>
    </row>
    <row r="674" spans="1:4" s="660" customFormat="1" ht="36.75" customHeight="1">
      <c r="A674" s="656">
        <v>50.6</v>
      </c>
      <c r="B674" s="657" t="s">
        <v>1077</v>
      </c>
      <c r="C674" s="658">
        <f>ROUND(Data!K2392,2)</f>
        <v>411.32</v>
      </c>
      <c r="D674" s="659" t="s">
        <v>2283</v>
      </c>
    </row>
    <row r="675" spans="1:4" ht="36.75" customHeight="1">
      <c r="A675" s="649">
        <v>52.4</v>
      </c>
      <c r="B675" s="650" t="s">
        <v>2228</v>
      </c>
      <c r="C675" s="654">
        <f>ROUND(Data!K2767,2)</f>
        <v>231.61</v>
      </c>
      <c r="D675" s="652" t="s">
        <v>826</v>
      </c>
    </row>
    <row r="676" spans="1:4" ht="36.75" customHeight="1">
      <c r="A676" s="649">
        <v>53.4</v>
      </c>
      <c r="B676" s="650" t="s">
        <v>69</v>
      </c>
      <c r="C676" s="654">
        <f>Data!K1951</f>
        <v>1864</v>
      </c>
      <c r="D676" s="652" t="s">
        <v>1398</v>
      </c>
    </row>
    <row r="677" spans="1:4" ht="36.75" customHeight="1">
      <c r="A677" s="649"/>
      <c r="B677" s="650" t="s">
        <v>4742</v>
      </c>
      <c r="C677" s="654">
        <f>Data!R3572</f>
        <v>3337.32</v>
      </c>
      <c r="D677" s="652" t="s">
        <v>1398</v>
      </c>
    </row>
    <row r="678" spans="1:4" ht="36.75" customHeight="1">
      <c r="A678" s="649">
        <v>54.3</v>
      </c>
      <c r="B678" s="650" t="s">
        <v>6223</v>
      </c>
      <c r="C678" s="661">
        <f>ROUND(Data!K1954,2)</f>
        <v>206</v>
      </c>
      <c r="D678" s="652" t="s">
        <v>1398</v>
      </c>
    </row>
    <row r="679" spans="1:4" ht="36.75" customHeight="1">
      <c r="A679" s="649">
        <v>56.3</v>
      </c>
      <c r="B679" s="650" t="s">
        <v>824</v>
      </c>
      <c r="C679" s="654">
        <f>ROUND(Data!K1977,2)</f>
        <v>3355.43</v>
      </c>
      <c r="D679" s="652" t="s">
        <v>1398</v>
      </c>
    </row>
    <row r="680" spans="1:4" ht="36.75" customHeight="1">
      <c r="A680" s="649">
        <v>56.4</v>
      </c>
      <c r="B680" s="650" t="s">
        <v>1281</v>
      </c>
      <c r="C680" s="654">
        <f>ROUND(Data!K1998,2)</f>
        <v>5176.6499999999996</v>
      </c>
      <c r="D680" s="652" t="s">
        <v>1398</v>
      </c>
    </row>
    <row r="681" spans="1:4" ht="36.75" customHeight="1">
      <c r="A681" s="649">
        <v>58.3</v>
      </c>
      <c r="B681" s="664" t="s">
        <v>1282</v>
      </c>
      <c r="C681" s="654"/>
      <c r="D681" s="723"/>
    </row>
    <row r="682" spans="1:4" ht="36.75" customHeight="1">
      <c r="A682" s="649"/>
      <c r="B682" s="650" t="s">
        <v>35</v>
      </c>
      <c r="C682" s="654">
        <f>ROUND(Data!K2063,2)</f>
        <v>717.55</v>
      </c>
      <c r="D682" s="652" t="s">
        <v>826</v>
      </c>
    </row>
    <row r="683" spans="1:4" ht="36.75" customHeight="1">
      <c r="A683" s="661"/>
      <c r="B683" s="650" t="s">
        <v>36</v>
      </c>
      <c r="C683" s="654">
        <f>ROUND(Data!K2087,2)</f>
        <v>600.25</v>
      </c>
      <c r="D683" s="652" t="s">
        <v>826</v>
      </c>
    </row>
    <row r="684" spans="1:4" ht="36.75" customHeight="1">
      <c r="A684" s="649">
        <v>58.4</v>
      </c>
      <c r="B684" s="650" t="s">
        <v>849</v>
      </c>
      <c r="C684" s="654">
        <f>ROUND(Data!K2888,2)</f>
        <v>114.45</v>
      </c>
      <c r="D684" s="723" t="s">
        <v>826</v>
      </c>
    </row>
    <row r="685" spans="1:4" s="660" customFormat="1" ht="36.75" customHeight="1">
      <c r="A685" s="656">
        <v>58.5</v>
      </c>
      <c r="B685" s="657" t="s">
        <v>850</v>
      </c>
      <c r="C685" s="658">
        <f>ROUND(Data!K2098,2)</f>
        <v>454</v>
      </c>
      <c r="D685" s="724" t="s">
        <v>1398</v>
      </c>
    </row>
    <row r="686" spans="1:4" s="660" customFormat="1" ht="96.75" customHeight="1">
      <c r="A686" s="656"/>
      <c r="B686" s="665" t="s">
        <v>5099</v>
      </c>
      <c r="C686" s="658"/>
      <c r="D686" s="724"/>
    </row>
    <row r="687" spans="1:4" s="660" customFormat="1" ht="36.75" customHeight="1">
      <c r="A687" s="656"/>
      <c r="B687" s="657" t="s">
        <v>2142</v>
      </c>
      <c r="C687" s="658">
        <f>Elec.Data!K29</f>
        <v>1692.1</v>
      </c>
      <c r="D687" s="725" t="s">
        <v>1398</v>
      </c>
    </row>
    <row r="688" spans="1:4" s="660" customFormat="1" ht="36.75" customHeight="1">
      <c r="A688" s="656"/>
      <c r="B688" s="657" t="s">
        <v>1270</v>
      </c>
      <c r="C688" s="658">
        <f>Elec.Data!K53</f>
        <v>1695.1</v>
      </c>
      <c r="D688" s="725" t="s">
        <v>1398</v>
      </c>
    </row>
    <row r="689" spans="1:4" s="660" customFormat="1" ht="36.75" customHeight="1">
      <c r="A689" s="662"/>
      <c r="B689" s="657" t="s">
        <v>299</v>
      </c>
      <c r="C689" s="658">
        <f>Elec.Data!K68</f>
        <v>1732.1</v>
      </c>
      <c r="D689" s="725" t="s">
        <v>1398</v>
      </c>
    </row>
    <row r="690" spans="1:4" s="660" customFormat="1" ht="87.75" customHeight="1">
      <c r="A690" s="656">
        <v>65.099999999999994</v>
      </c>
      <c r="B690" s="657" t="s">
        <v>6224</v>
      </c>
      <c r="C690" s="658">
        <f>Elec.Data!K90</f>
        <v>1767.1</v>
      </c>
      <c r="D690" s="725" t="s">
        <v>1398</v>
      </c>
    </row>
    <row r="691" spans="1:4" s="660" customFormat="1" ht="87.75" customHeight="1">
      <c r="A691" s="656">
        <v>66.099999999999994</v>
      </c>
      <c r="B691" s="657" t="s">
        <v>6225</v>
      </c>
      <c r="C691" s="658">
        <f>Elec.Data!K114</f>
        <v>3176.2</v>
      </c>
      <c r="D691" s="725" t="s">
        <v>1398</v>
      </c>
    </row>
    <row r="692" spans="1:4" s="660" customFormat="1" ht="87.75" customHeight="1">
      <c r="A692" s="656"/>
      <c r="B692" s="657" t="s">
        <v>6226</v>
      </c>
      <c r="C692" s="658">
        <f>Elec.Data!K146</f>
        <v>869.5</v>
      </c>
      <c r="D692" s="725" t="s">
        <v>1398</v>
      </c>
    </row>
    <row r="693" spans="1:4" s="660" customFormat="1" ht="87.75" customHeight="1">
      <c r="A693" s="656">
        <v>68.2</v>
      </c>
      <c r="B693" s="657" t="s">
        <v>6227</v>
      </c>
      <c r="C693" s="658">
        <f>Elec.Data!K134</f>
        <v>1174.4000000000001</v>
      </c>
      <c r="D693" s="725" t="s">
        <v>1398</v>
      </c>
    </row>
    <row r="694" spans="1:4" ht="87.75" customHeight="1">
      <c r="A694" s="649">
        <v>70.5</v>
      </c>
      <c r="B694" s="650" t="s">
        <v>5102</v>
      </c>
      <c r="C694" s="726">
        <f>Elec.Data!K157</f>
        <v>150</v>
      </c>
      <c r="D694" s="727" t="s">
        <v>1398</v>
      </c>
    </row>
    <row r="695" spans="1:4" ht="87.75" customHeight="1">
      <c r="A695" s="661"/>
      <c r="B695" s="650" t="s">
        <v>6228</v>
      </c>
      <c r="C695" s="654">
        <f>ROUND(Data!K3038,2)</f>
        <v>1552.7</v>
      </c>
      <c r="D695" s="719" t="s">
        <v>1398</v>
      </c>
    </row>
    <row r="696" spans="1:4" ht="87.75" customHeight="1">
      <c r="A696" s="661"/>
      <c r="B696" s="650" t="s">
        <v>3518</v>
      </c>
      <c r="C696" s="654">
        <f>Data!K2283</f>
        <v>272.89999999999998</v>
      </c>
      <c r="D696" s="723" t="s">
        <v>826</v>
      </c>
    </row>
    <row r="697" spans="1:4" ht="87.75" customHeight="1">
      <c r="A697" s="686">
        <v>77.5</v>
      </c>
      <c r="B697" s="650" t="s">
        <v>3519</v>
      </c>
      <c r="C697" s="654">
        <f>ROUND(Data!K2282,2)</f>
        <v>214.9</v>
      </c>
      <c r="D697" s="723" t="s">
        <v>826</v>
      </c>
    </row>
    <row r="698" spans="1:4" ht="87.75" customHeight="1">
      <c r="A698" s="686"/>
      <c r="B698" s="650" t="s">
        <v>3566</v>
      </c>
      <c r="C698" s="661">
        <f>C1464</f>
        <v>232.9</v>
      </c>
      <c r="D698" s="728" t="s">
        <v>826</v>
      </c>
    </row>
    <row r="699" spans="1:4" ht="87.75" customHeight="1">
      <c r="A699" s="686"/>
      <c r="B699" s="650" t="s">
        <v>6229</v>
      </c>
      <c r="C699" s="661">
        <f>Elec.Data!K708</f>
        <v>275.3</v>
      </c>
      <c r="D699" s="723" t="s">
        <v>826</v>
      </c>
    </row>
    <row r="700" spans="1:4" ht="87.75" customHeight="1">
      <c r="A700" s="686"/>
      <c r="B700" s="729" t="s">
        <v>3649</v>
      </c>
      <c r="C700" s="661">
        <f>Elec.Data!R288</f>
        <v>501.08</v>
      </c>
      <c r="D700" s="728" t="s">
        <v>826</v>
      </c>
    </row>
    <row r="701" spans="1:4" ht="87.75" customHeight="1">
      <c r="A701" s="686"/>
      <c r="B701" s="729" t="s">
        <v>3650</v>
      </c>
      <c r="C701" s="661">
        <f>Elec.Data!R302</f>
        <v>642.77</v>
      </c>
      <c r="D701" s="728" t="s">
        <v>826</v>
      </c>
    </row>
    <row r="702" spans="1:4" s="660" customFormat="1" ht="36.75" customHeight="1">
      <c r="A702" s="656">
        <v>112.1</v>
      </c>
      <c r="B702" s="657" t="s">
        <v>1919</v>
      </c>
      <c r="C702" s="658">
        <f>Data!K3018</f>
        <v>2176.4</v>
      </c>
      <c r="D702" s="725" t="s">
        <v>1398</v>
      </c>
    </row>
    <row r="703" spans="1:4" s="714" customFormat="1" ht="36.75" customHeight="1">
      <c r="A703" s="710"/>
      <c r="B703" s="730" t="s">
        <v>1010</v>
      </c>
      <c r="C703" s="731"/>
      <c r="D703" s="732"/>
    </row>
    <row r="704" spans="1:4" s="714" customFormat="1" ht="36.75" customHeight="1">
      <c r="A704" s="710"/>
      <c r="B704" s="711" t="s">
        <v>1436</v>
      </c>
      <c r="C704" s="731">
        <f>ROUND(Data!K3032,2)</f>
        <v>0</v>
      </c>
      <c r="D704" s="732" t="s">
        <v>1398</v>
      </c>
    </row>
    <row r="705" spans="1:4" s="714" customFormat="1" ht="36.75" customHeight="1">
      <c r="A705" s="710"/>
      <c r="B705" s="711" t="s">
        <v>1435</v>
      </c>
      <c r="C705" s="731">
        <f>Data!K3034</f>
        <v>0</v>
      </c>
      <c r="D705" s="732" t="s">
        <v>1398</v>
      </c>
    </row>
    <row r="706" spans="1:4" s="714" customFormat="1" ht="36.75" customHeight="1">
      <c r="A706" s="710"/>
      <c r="B706" s="711" t="s">
        <v>198</v>
      </c>
      <c r="C706" s="731">
        <f>Data!K3037</f>
        <v>0</v>
      </c>
      <c r="D706" s="732" t="s">
        <v>1398</v>
      </c>
    </row>
    <row r="707" spans="1:4" ht="36.75" customHeight="1">
      <c r="A707" s="649">
        <v>44.2</v>
      </c>
      <c r="B707" s="664" t="s">
        <v>1905</v>
      </c>
      <c r="C707" s="654"/>
      <c r="D707" s="719"/>
    </row>
    <row r="708" spans="1:4" ht="36.75" customHeight="1">
      <c r="A708" s="649"/>
      <c r="B708" s="650" t="s">
        <v>5458</v>
      </c>
      <c r="C708" s="654">
        <f>Data!R2350</f>
        <v>2160.77</v>
      </c>
      <c r="D708" s="719" t="s">
        <v>1398</v>
      </c>
    </row>
    <row r="709" spans="1:4" ht="36.75" customHeight="1">
      <c r="A709" s="649"/>
      <c r="B709" s="650" t="s">
        <v>318</v>
      </c>
      <c r="C709" s="654">
        <f>Data!R2357</f>
        <v>497.12</v>
      </c>
      <c r="D709" s="719" t="s">
        <v>826</v>
      </c>
    </row>
    <row r="710" spans="1:4" ht="36.75" customHeight="1">
      <c r="A710" s="649">
        <v>257.10000000000002</v>
      </c>
      <c r="B710" s="650" t="s">
        <v>1384</v>
      </c>
      <c r="C710" s="661">
        <f>ROUND(Data!K2703,2)</f>
        <v>272.93</v>
      </c>
      <c r="D710" s="719" t="s">
        <v>826</v>
      </c>
    </row>
    <row r="711" spans="1:4" ht="36.75" customHeight="1">
      <c r="A711" s="686">
        <v>344.2</v>
      </c>
      <c r="B711" s="650" t="s">
        <v>764</v>
      </c>
      <c r="C711" s="654">
        <f>ROUND(Data!K3014,2)</f>
        <v>398.3</v>
      </c>
      <c r="D711" s="719" t="s">
        <v>1398</v>
      </c>
    </row>
    <row r="712" spans="1:4" s="660" customFormat="1" ht="36.75" customHeight="1">
      <c r="A712" s="733">
        <v>383</v>
      </c>
      <c r="B712" s="657" t="s">
        <v>1623</v>
      </c>
      <c r="C712" s="662">
        <f>Data!C764</f>
        <v>1020</v>
      </c>
      <c r="D712" s="659" t="s">
        <v>1398</v>
      </c>
    </row>
    <row r="713" spans="1:4" ht="36.75" customHeight="1">
      <c r="A713" s="649">
        <v>383.1</v>
      </c>
      <c r="B713" s="650" t="s">
        <v>5930</v>
      </c>
      <c r="C713" s="687">
        <v>195.7</v>
      </c>
      <c r="D713" s="719" t="s">
        <v>826</v>
      </c>
    </row>
    <row r="714" spans="1:4" ht="36.75" customHeight="1">
      <c r="A714" s="649"/>
      <c r="B714" s="650" t="s">
        <v>5931</v>
      </c>
      <c r="C714" s="687">
        <v>370.25</v>
      </c>
      <c r="D714" s="719" t="s">
        <v>826</v>
      </c>
    </row>
    <row r="715" spans="1:4" ht="36.75" customHeight="1">
      <c r="A715" s="649"/>
      <c r="B715" s="650" t="s">
        <v>3589</v>
      </c>
      <c r="C715" s="661">
        <f>Data!R1912</f>
        <v>304.19</v>
      </c>
      <c r="D715" s="719" t="s">
        <v>826</v>
      </c>
    </row>
    <row r="716" spans="1:4" s="660" customFormat="1" ht="36.75" customHeight="1">
      <c r="A716" s="733">
        <v>384</v>
      </c>
      <c r="B716" s="657" t="s">
        <v>227</v>
      </c>
      <c r="C716" s="662">
        <f>Data!K3046</f>
        <v>1753.5</v>
      </c>
      <c r="D716" s="734" t="s">
        <v>1398</v>
      </c>
    </row>
    <row r="717" spans="1:4" ht="36.75" customHeight="1">
      <c r="A717" s="685">
        <v>385</v>
      </c>
      <c r="B717" s="650" t="s">
        <v>228</v>
      </c>
      <c r="C717" s="661">
        <f>ROUND(Data!K2690,2)</f>
        <v>718.9</v>
      </c>
      <c r="D717" s="652" t="s">
        <v>1398</v>
      </c>
    </row>
    <row r="718" spans="1:4" ht="36.75" customHeight="1">
      <c r="A718" s="649">
        <v>238.1</v>
      </c>
      <c r="B718" s="650" t="s">
        <v>6230</v>
      </c>
      <c r="C718" s="661">
        <f>ROUND(Data!K2778,2)</f>
        <v>2867.75</v>
      </c>
      <c r="D718" s="728" t="s">
        <v>528</v>
      </c>
    </row>
    <row r="719" spans="1:4" s="660" customFormat="1" ht="36.75" customHeight="1">
      <c r="A719" s="656">
        <v>71.2</v>
      </c>
      <c r="B719" s="657" t="s">
        <v>3515</v>
      </c>
      <c r="C719" s="662">
        <f>Elec.Data!K379</f>
        <v>2195.34</v>
      </c>
      <c r="D719" s="734" t="s">
        <v>1398</v>
      </c>
    </row>
    <row r="720" spans="1:4" s="660" customFormat="1" ht="36.75" customHeight="1">
      <c r="A720" s="656">
        <v>80.099999999999994</v>
      </c>
      <c r="B720" s="657" t="s">
        <v>3808</v>
      </c>
      <c r="C720" s="735">
        <f>C1446</f>
        <v>1345.34</v>
      </c>
      <c r="D720" s="734" t="s">
        <v>1398</v>
      </c>
    </row>
    <row r="721" spans="1:4" ht="36.75" customHeight="1">
      <c r="A721" s="649"/>
      <c r="B721" s="650" t="s">
        <v>3521</v>
      </c>
      <c r="C721" s="661">
        <f>Elec.Data!K588</f>
        <v>852.12</v>
      </c>
      <c r="D721" s="728" t="s">
        <v>1398</v>
      </c>
    </row>
    <row r="722" spans="1:4" ht="36.75" customHeight="1">
      <c r="A722" s="649"/>
      <c r="B722" s="650" t="s">
        <v>3805</v>
      </c>
      <c r="C722" s="661">
        <f>Elec.Data!K569</f>
        <v>573</v>
      </c>
      <c r="D722" s="728" t="s">
        <v>1398</v>
      </c>
    </row>
    <row r="723" spans="1:4" ht="36.75" customHeight="1">
      <c r="A723" s="649">
        <v>87.1</v>
      </c>
      <c r="B723" s="650" t="str">
        <f>B1480</f>
        <v>Supplying and delivery of Three phase ELCB/RCCB</v>
      </c>
      <c r="C723" s="661">
        <f>Elec.Data!K637</f>
        <v>3091.3</v>
      </c>
      <c r="D723" s="728" t="s">
        <v>1398</v>
      </c>
    </row>
    <row r="724" spans="1:4" ht="36.75" customHeight="1">
      <c r="A724" s="649"/>
      <c r="B724" s="650" t="s">
        <v>3809</v>
      </c>
      <c r="C724" s="661">
        <f>C1483</f>
        <v>165</v>
      </c>
      <c r="D724" s="728" t="s">
        <v>826</v>
      </c>
    </row>
    <row r="725" spans="1:4" ht="36.75" customHeight="1">
      <c r="A725" s="649"/>
      <c r="B725" s="650" t="s">
        <v>5079</v>
      </c>
      <c r="C725" s="654">
        <f>Data!R1326</f>
        <v>231.43</v>
      </c>
      <c r="D725" s="728" t="s">
        <v>2283</v>
      </c>
    </row>
    <row r="726" spans="1:4" s="660" customFormat="1" ht="36.75" customHeight="1">
      <c r="A726" s="656"/>
      <c r="B726" s="657" t="s">
        <v>5103</v>
      </c>
      <c r="C726" s="658">
        <v>133.49</v>
      </c>
      <c r="D726" s="734" t="s">
        <v>2283</v>
      </c>
    </row>
    <row r="727" spans="1:4" ht="36.75" customHeight="1">
      <c r="A727" s="649" t="s">
        <v>4343</v>
      </c>
      <c r="B727" s="650" t="s">
        <v>3810</v>
      </c>
      <c r="C727" s="654">
        <f>Data!K3348</f>
        <v>125.27</v>
      </c>
      <c r="D727" s="728" t="s">
        <v>2283</v>
      </c>
    </row>
    <row r="728" spans="1:4" ht="36.75" customHeight="1">
      <c r="A728" s="649"/>
      <c r="B728" s="650" t="str">
        <f>B1481</f>
        <v>2 x 4 Sqmm Copper PVC insulated unsheathed single core 1 KV grade cable for EB service single phase.</v>
      </c>
      <c r="C728" s="661">
        <f>Elec.Data!K670</f>
        <v>158.03</v>
      </c>
      <c r="D728" s="728" t="s">
        <v>826</v>
      </c>
    </row>
    <row r="729" spans="1:4" ht="36.75" customHeight="1">
      <c r="A729" s="649"/>
      <c r="B729" s="650" t="str">
        <f>B1447</f>
        <v>40 mm dia GI pipe "B"class</v>
      </c>
      <c r="C729" s="650">
        <f>C1447</f>
        <v>165</v>
      </c>
      <c r="D729" s="728" t="s">
        <v>826</v>
      </c>
    </row>
    <row r="730" spans="1:4" ht="36.75" customHeight="1">
      <c r="A730" s="649"/>
      <c r="B730" s="650" t="s">
        <v>4743</v>
      </c>
      <c r="C730" s="654">
        <v>9180</v>
      </c>
      <c r="D730" s="659" t="s">
        <v>1398</v>
      </c>
    </row>
    <row r="731" spans="1:4" ht="36.75" customHeight="1">
      <c r="A731" s="649"/>
      <c r="B731" s="650" t="s">
        <v>5932</v>
      </c>
      <c r="C731" s="650">
        <v>5428</v>
      </c>
      <c r="D731" s="728" t="s">
        <v>2283</v>
      </c>
    </row>
    <row r="732" spans="1:4" s="660" customFormat="1" ht="36.75" customHeight="1">
      <c r="A732" s="656">
        <v>448.2</v>
      </c>
      <c r="B732" s="657" t="s">
        <v>4251</v>
      </c>
      <c r="C732" s="658">
        <f>Data!R3123</f>
        <v>138.32</v>
      </c>
      <c r="D732" s="734" t="s">
        <v>1398</v>
      </c>
    </row>
    <row r="733" spans="1:4" ht="36.75" customHeight="1">
      <c r="A733" s="649"/>
      <c r="B733" s="650" t="s">
        <v>6231</v>
      </c>
      <c r="C733" s="661">
        <f>Data!AD1271</f>
        <v>1754.6</v>
      </c>
      <c r="D733" s="719" t="s">
        <v>2283</v>
      </c>
    </row>
    <row r="734" spans="1:4" ht="36.75" customHeight="1">
      <c r="A734" s="649"/>
      <c r="B734" s="650" t="s">
        <v>6232</v>
      </c>
      <c r="C734" s="654">
        <f>Data!R2416</f>
        <v>1438.54</v>
      </c>
      <c r="D734" s="719" t="s">
        <v>2283</v>
      </c>
    </row>
    <row r="735" spans="1:4" ht="36.75" customHeight="1">
      <c r="A735" s="649"/>
      <c r="B735" s="650" t="s">
        <v>5080</v>
      </c>
      <c r="C735" s="658">
        <f>Data!AD1271</f>
        <v>1754.6</v>
      </c>
      <c r="D735" s="719" t="s">
        <v>2283</v>
      </c>
    </row>
    <row r="736" spans="1:4" ht="36.75" customHeight="1">
      <c r="A736" s="649"/>
      <c r="B736" s="650" t="s">
        <v>4945</v>
      </c>
      <c r="C736" s="654">
        <f>Data!K2435</f>
        <v>1479.42</v>
      </c>
      <c r="D736" s="719" t="s">
        <v>233</v>
      </c>
    </row>
    <row r="737" spans="1:4" ht="36.75" customHeight="1">
      <c r="A737" s="649"/>
      <c r="B737" s="736" t="s">
        <v>4967</v>
      </c>
      <c r="C737" s="737">
        <f>Data!R1249</f>
        <v>1490.71</v>
      </c>
      <c r="D737" s="738" t="s">
        <v>2283</v>
      </c>
    </row>
    <row r="738" spans="1:4" ht="36.75" customHeight="1">
      <c r="A738" s="649"/>
      <c r="B738" s="739" t="s">
        <v>4968</v>
      </c>
      <c r="C738" s="737">
        <f>Data!R1272</f>
        <v>1254.01</v>
      </c>
      <c r="D738" s="738" t="s">
        <v>2283</v>
      </c>
    </row>
    <row r="739" spans="1:4" ht="36.75" customHeight="1">
      <c r="A739" s="649" t="s">
        <v>4250</v>
      </c>
      <c r="B739" s="650" t="s">
        <v>3806</v>
      </c>
      <c r="C739" s="654">
        <f>Data!R1230</f>
        <v>1483.94</v>
      </c>
      <c r="D739" s="719" t="s">
        <v>2283</v>
      </c>
    </row>
    <row r="740" spans="1:4" ht="36.75" customHeight="1">
      <c r="A740" s="649"/>
      <c r="B740" s="650" t="s">
        <v>4954</v>
      </c>
      <c r="C740" s="658">
        <f>Data!AD1257</f>
        <v>1625.71</v>
      </c>
      <c r="D740" s="719" t="s">
        <v>2283</v>
      </c>
    </row>
    <row r="741" spans="1:4" ht="36.75" customHeight="1">
      <c r="A741" s="649"/>
      <c r="B741" s="740" t="s">
        <v>3614</v>
      </c>
      <c r="C741" s="741"/>
      <c r="D741" s="742"/>
    </row>
    <row r="742" spans="1:4" ht="36.75" customHeight="1">
      <c r="A742" s="649"/>
      <c r="B742" s="743" t="s">
        <v>4485</v>
      </c>
      <c r="C742" s="741">
        <f>'Sliding and french window'!G350</f>
        <v>3353.03</v>
      </c>
      <c r="D742" s="742" t="s">
        <v>2283</v>
      </c>
    </row>
    <row r="743" spans="1:4" ht="36.75" customHeight="1">
      <c r="A743" s="649"/>
      <c r="B743" s="743" t="s">
        <v>4486</v>
      </c>
      <c r="C743" s="741">
        <f>'Sliding and french window'!G491</f>
        <v>3169.22</v>
      </c>
      <c r="D743" s="742" t="s">
        <v>2283</v>
      </c>
    </row>
    <row r="744" spans="1:4" ht="36.75" customHeight="1">
      <c r="A744" s="649"/>
      <c r="B744" s="743" t="s">
        <v>4487</v>
      </c>
      <c r="C744" s="741">
        <f>'Sliding and french window'!G395</f>
        <v>4048</v>
      </c>
      <c r="D744" s="742" t="s">
        <v>2283</v>
      </c>
    </row>
    <row r="745" spans="1:4" ht="36.75" customHeight="1">
      <c r="A745" s="649"/>
      <c r="B745" s="743" t="s">
        <v>4488</v>
      </c>
      <c r="C745" s="741">
        <f>'Sliding and french window'!G440</f>
        <v>3758.93</v>
      </c>
      <c r="D745" s="742" t="s">
        <v>2283</v>
      </c>
    </row>
    <row r="746" spans="1:4" ht="36.75" customHeight="1">
      <c r="A746" s="649"/>
      <c r="B746" s="690" t="s">
        <v>3579</v>
      </c>
      <c r="C746" s="703">
        <f>Data!X1293</f>
        <v>1370.92</v>
      </c>
      <c r="D746" s="705" t="s">
        <v>1842</v>
      </c>
    </row>
    <row r="747" spans="1:4" ht="36.75" customHeight="1">
      <c r="A747" s="649"/>
      <c r="B747" s="690" t="s">
        <v>3580</v>
      </c>
      <c r="C747" s="703">
        <f>Data!K1292</f>
        <v>2952.16</v>
      </c>
      <c r="D747" s="705" t="s">
        <v>1842</v>
      </c>
    </row>
    <row r="748" spans="1:4" ht="36.75" customHeight="1">
      <c r="A748" s="649" t="s">
        <v>4726</v>
      </c>
      <c r="B748" s="744" t="s">
        <v>4721</v>
      </c>
      <c r="C748" s="703">
        <f>Data!R3720</f>
        <v>4504.3599999999997</v>
      </c>
      <c r="D748" s="652" t="s">
        <v>2283</v>
      </c>
    </row>
    <row r="749" spans="1:4" ht="36.75" customHeight="1">
      <c r="A749" s="649">
        <f>11.6-7.25</f>
        <v>4.4000000000000004</v>
      </c>
      <c r="B749" s="650" t="s">
        <v>6233</v>
      </c>
      <c r="C749" s="745">
        <v>915.02</v>
      </c>
      <c r="D749" s="652" t="s">
        <v>2283</v>
      </c>
    </row>
    <row r="750" spans="1:4" ht="36.75" customHeight="1">
      <c r="A750" s="649"/>
      <c r="B750" s="650" t="s">
        <v>6234</v>
      </c>
      <c r="C750" s="745">
        <v>990</v>
      </c>
      <c r="D750" s="652" t="s">
        <v>2283</v>
      </c>
    </row>
    <row r="751" spans="1:4" ht="36.75" customHeight="1">
      <c r="A751" s="649"/>
      <c r="B751" s="650" t="s">
        <v>3567</v>
      </c>
      <c r="C751" s="703">
        <v>905</v>
      </c>
      <c r="D751" s="652" t="s">
        <v>826</v>
      </c>
    </row>
    <row r="752" spans="1:4" ht="36.75" customHeight="1">
      <c r="A752" s="649"/>
      <c r="B752" s="650" t="s">
        <v>3604</v>
      </c>
      <c r="C752" s="703">
        <v>8467.2999999999993</v>
      </c>
      <c r="D752" s="652" t="s">
        <v>1398</v>
      </c>
    </row>
    <row r="753" spans="1:4" ht="36.75" customHeight="1">
      <c r="A753" s="649"/>
      <c r="B753" s="650" t="s">
        <v>6235</v>
      </c>
      <c r="C753" s="703">
        <v>3409</v>
      </c>
      <c r="D753" s="652" t="s">
        <v>1398</v>
      </c>
    </row>
    <row r="754" spans="1:4" ht="36.75" customHeight="1">
      <c r="A754" s="649"/>
      <c r="B754" s="650" t="s">
        <v>6236</v>
      </c>
      <c r="C754" s="703">
        <v>469.42</v>
      </c>
      <c r="D754" s="652" t="s">
        <v>1398</v>
      </c>
    </row>
    <row r="755" spans="1:4" ht="36.75" customHeight="1">
      <c r="A755" s="649"/>
      <c r="B755" s="650" t="s">
        <v>3568</v>
      </c>
      <c r="C755" s="703"/>
      <c r="D755" s="652"/>
    </row>
    <row r="756" spans="1:4" ht="36.75" customHeight="1">
      <c r="A756" s="649"/>
      <c r="B756" s="650" t="s">
        <v>3605</v>
      </c>
      <c r="C756" s="703">
        <v>5640</v>
      </c>
      <c r="D756" s="652" t="s">
        <v>1398</v>
      </c>
    </row>
    <row r="757" spans="1:4" ht="36.75" customHeight="1">
      <c r="A757" s="649"/>
      <c r="B757" s="650" t="s">
        <v>3606</v>
      </c>
      <c r="C757" s="703">
        <v>1340</v>
      </c>
      <c r="D757" s="652" t="s">
        <v>1398</v>
      </c>
    </row>
    <row r="758" spans="1:4" ht="36.75" customHeight="1">
      <c r="A758" s="649"/>
      <c r="B758" s="650" t="s">
        <v>3607</v>
      </c>
      <c r="C758" s="703">
        <v>604</v>
      </c>
      <c r="D758" s="652" t="s">
        <v>1398</v>
      </c>
    </row>
    <row r="759" spans="1:4" ht="81.75" customHeight="1">
      <c r="A759" s="649"/>
      <c r="B759" s="650" t="s">
        <v>6237</v>
      </c>
      <c r="C759" s="703"/>
      <c r="D759" s="652"/>
    </row>
    <row r="760" spans="1:4" ht="36.75" customHeight="1">
      <c r="A760" s="649"/>
      <c r="B760" s="650" t="s">
        <v>2142</v>
      </c>
      <c r="C760" s="703">
        <v>1000.51</v>
      </c>
      <c r="D760" s="652" t="s">
        <v>1398</v>
      </c>
    </row>
    <row r="761" spans="1:4" ht="36.75" customHeight="1">
      <c r="A761" s="649"/>
      <c r="B761" s="650" t="s">
        <v>1270</v>
      </c>
      <c r="C761" s="703">
        <v>1003.51</v>
      </c>
      <c r="D761" s="652" t="s">
        <v>1398</v>
      </c>
    </row>
    <row r="762" spans="1:4" ht="36.75" customHeight="1">
      <c r="A762" s="649"/>
      <c r="B762" s="650" t="s">
        <v>6238</v>
      </c>
      <c r="C762" s="703">
        <v>769.3</v>
      </c>
      <c r="D762" s="652" t="s">
        <v>1398</v>
      </c>
    </row>
    <row r="763" spans="1:4" ht="36.75" customHeight="1">
      <c r="A763" s="649"/>
      <c r="B763" s="650" t="s">
        <v>6239</v>
      </c>
      <c r="C763" s="703">
        <v>536.54999999999995</v>
      </c>
      <c r="D763" s="652" t="s">
        <v>1398</v>
      </c>
    </row>
    <row r="764" spans="1:4" ht="36.75" customHeight="1">
      <c r="A764" s="649"/>
      <c r="B764" s="650" t="s">
        <v>4679</v>
      </c>
      <c r="C764" s="703">
        <v>675</v>
      </c>
      <c r="D764" s="746" t="s">
        <v>1771</v>
      </c>
    </row>
    <row r="765" spans="1:4" ht="36.75" customHeight="1">
      <c r="A765" s="649"/>
      <c r="B765" s="650" t="s">
        <v>3612</v>
      </c>
      <c r="C765" s="703">
        <v>435</v>
      </c>
      <c r="D765" s="746" t="s">
        <v>1771</v>
      </c>
    </row>
    <row r="766" spans="1:4" ht="36.75" customHeight="1">
      <c r="A766" s="649"/>
      <c r="B766" s="650" t="s">
        <v>3569</v>
      </c>
      <c r="C766" s="703">
        <v>356</v>
      </c>
      <c r="D766" s="746" t="s">
        <v>1771</v>
      </c>
    </row>
    <row r="767" spans="1:4" ht="36.75" customHeight="1">
      <c r="A767" s="649"/>
      <c r="B767" s="650" t="s">
        <v>3570</v>
      </c>
      <c r="C767" s="703">
        <v>317</v>
      </c>
      <c r="D767" s="746" t="s">
        <v>1771</v>
      </c>
    </row>
    <row r="768" spans="1:4" ht="36.75" customHeight="1">
      <c r="A768" s="649"/>
      <c r="B768" s="650" t="s">
        <v>3600</v>
      </c>
      <c r="C768" s="703">
        <v>176.84</v>
      </c>
      <c r="D768" s="746" t="s">
        <v>826</v>
      </c>
    </row>
    <row r="769" spans="1:4" ht="36.75" customHeight="1">
      <c r="A769" s="649"/>
      <c r="B769" s="650" t="s">
        <v>6240</v>
      </c>
      <c r="C769" s="703">
        <v>463</v>
      </c>
      <c r="D769" s="746" t="s">
        <v>1398</v>
      </c>
    </row>
    <row r="770" spans="1:4" ht="36.75" customHeight="1">
      <c r="A770" s="649"/>
      <c r="B770" s="650" t="s">
        <v>6241</v>
      </c>
      <c r="C770" s="703">
        <v>293</v>
      </c>
      <c r="D770" s="703" t="s">
        <v>1398</v>
      </c>
    </row>
    <row r="771" spans="1:4" ht="36.75" customHeight="1">
      <c r="A771" s="649"/>
      <c r="B771" s="747" t="s">
        <v>4528</v>
      </c>
      <c r="C771" s="748">
        <f>Data!R1455</f>
        <v>6236.68</v>
      </c>
      <c r="D771" s="749" t="s">
        <v>2283</v>
      </c>
    </row>
    <row r="772" spans="1:4" ht="36.75" customHeight="1">
      <c r="A772" s="649"/>
      <c r="B772" s="747" t="s">
        <v>4532</v>
      </c>
      <c r="C772" s="747">
        <f>Data!K4000</f>
        <v>0</v>
      </c>
      <c r="D772" s="747" t="s">
        <v>2283</v>
      </c>
    </row>
    <row r="773" spans="1:4" ht="36.75" customHeight="1">
      <c r="A773" s="649"/>
      <c r="B773" s="747" t="s">
        <v>4526</v>
      </c>
      <c r="C773" s="747">
        <f>'Sliding and french window'!F310</f>
        <v>5580.9</v>
      </c>
      <c r="D773" s="747" t="s">
        <v>2283</v>
      </c>
    </row>
    <row r="774" spans="1:4" ht="36.75" customHeight="1">
      <c r="A774" s="649"/>
      <c r="B774" s="747" t="s">
        <v>4529</v>
      </c>
      <c r="C774" s="747">
        <f>'Sliding and french window'!F145</f>
        <v>5573</v>
      </c>
      <c r="D774" s="747" t="s">
        <v>2283</v>
      </c>
    </row>
    <row r="775" spans="1:4" ht="36.75" customHeight="1">
      <c r="A775" s="649"/>
      <c r="B775" s="747" t="s">
        <v>4530</v>
      </c>
      <c r="C775" s="747">
        <f>'Sliding and french window'!F167</f>
        <v>4875.91</v>
      </c>
      <c r="D775" s="747" t="s">
        <v>2283</v>
      </c>
    </row>
    <row r="776" spans="1:4" ht="36.75" customHeight="1">
      <c r="A776" s="649"/>
      <c r="B776" s="747" t="s">
        <v>4531</v>
      </c>
      <c r="C776" s="747">
        <f>Data!K4016</f>
        <v>0</v>
      </c>
      <c r="D776" s="747" t="s">
        <v>2283</v>
      </c>
    </row>
    <row r="777" spans="1:4" ht="36.75" customHeight="1">
      <c r="A777" s="649"/>
      <c r="B777" s="747" t="s">
        <v>4322</v>
      </c>
      <c r="C777" s="747">
        <f>Data!K4031</f>
        <v>0</v>
      </c>
      <c r="D777" s="747" t="s">
        <v>2283</v>
      </c>
    </row>
    <row r="778" spans="1:4" ht="36.75" customHeight="1">
      <c r="A778" s="649"/>
      <c r="B778" s="747" t="s">
        <v>4323</v>
      </c>
      <c r="C778" s="747">
        <f>Data!K4043</f>
        <v>0</v>
      </c>
      <c r="D778" s="747" t="s">
        <v>2283</v>
      </c>
    </row>
    <row r="779" spans="1:4" ht="36.75" customHeight="1">
      <c r="A779" s="649"/>
      <c r="B779" s="747" t="s">
        <v>4527</v>
      </c>
      <c r="C779" s="747">
        <f>Data!R1545</f>
        <v>4991.1499999999996</v>
      </c>
      <c r="D779" s="747" t="s">
        <v>2283</v>
      </c>
    </row>
    <row r="780" spans="1:4" ht="36.75" customHeight="1">
      <c r="A780" s="649"/>
      <c r="B780" s="650" t="s">
        <v>3599</v>
      </c>
      <c r="C780" s="703">
        <v>6950</v>
      </c>
      <c r="D780" s="746" t="s">
        <v>1398</v>
      </c>
    </row>
    <row r="781" spans="1:4" ht="36.75" customHeight="1">
      <c r="A781" s="649"/>
      <c r="B781" s="650" t="s">
        <v>3631</v>
      </c>
      <c r="C781" s="703">
        <v>634</v>
      </c>
      <c r="D781" s="746" t="s">
        <v>1398</v>
      </c>
    </row>
    <row r="782" spans="1:4" ht="36.75" customHeight="1">
      <c r="A782" s="649"/>
      <c r="B782" s="650" t="s">
        <v>3648</v>
      </c>
      <c r="C782" s="703">
        <v>9470</v>
      </c>
      <c r="D782" s="746" t="s">
        <v>1398</v>
      </c>
    </row>
    <row r="783" spans="1:4" ht="36.75" customHeight="1">
      <c r="A783" s="649"/>
      <c r="B783" s="650" t="s">
        <v>3613</v>
      </c>
      <c r="C783" s="703">
        <v>293</v>
      </c>
      <c r="D783" s="746" t="s">
        <v>1398</v>
      </c>
    </row>
    <row r="784" spans="1:4" ht="36.75" customHeight="1">
      <c r="A784" s="649"/>
      <c r="B784" s="650" t="s">
        <v>6242</v>
      </c>
      <c r="C784" s="703">
        <v>704.75</v>
      </c>
      <c r="D784" s="652" t="s">
        <v>1398</v>
      </c>
    </row>
    <row r="785" spans="1:4" ht="36.75" customHeight="1">
      <c r="A785" s="649"/>
      <c r="B785" s="650" t="s">
        <v>6243</v>
      </c>
      <c r="C785" s="703">
        <v>514.85</v>
      </c>
      <c r="D785" s="652" t="s">
        <v>1398</v>
      </c>
    </row>
    <row r="786" spans="1:4" ht="36.75" customHeight="1">
      <c r="A786" s="649"/>
      <c r="B786" s="750" t="s">
        <v>6244</v>
      </c>
      <c r="C786" s="703">
        <v>473.5</v>
      </c>
      <c r="D786" s="746" t="s">
        <v>826</v>
      </c>
    </row>
    <row r="787" spans="1:4" ht="36.75" customHeight="1">
      <c r="A787" s="649"/>
      <c r="B787" s="750" t="s">
        <v>6245</v>
      </c>
      <c r="C787" s="751">
        <v>1003</v>
      </c>
      <c r="D787" s="746" t="s">
        <v>1398</v>
      </c>
    </row>
    <row r="788" spans="1:4" ht="36.75" customHeight="1">
      <c r="A788" s="649"/>
      <c r="B788" s="750" t="s">
        <v>3608</v>
      </c>
      <c r="C788" s="703">
        <v>11481.8</v>
      </c>
      <c r="D788" s="746" t="s">
        <v>1398</v>
      </c>
    </row>
    <row r="789" spans="1:4" ht="36.75" customHeight="1">
      <c r="A789" s="649"/>
      <c r="B789" s="750" t="s">
        <v>3623</v>
      </c>
      <c r="C789" s="703">
        <v>5325.6</v>
      </c>
      <c r="D789" s="746" t="s">
        <v>1398</v>
      </c>
    </row>
    <row r="790" spans="1:4" ht="36.75" customHeight="1">
      <c r="A790" s="649"/>
      <c r="B790" s="750" t="s">
        <v>3624</v>
      </c>
      <c r="C790" s="703">
        <v>8254.6</v>
      </c>
      <c r="D790" s="746" t="s">
        <v>1398</v>
      </c>
    </row>
    <row r="791" spans="1:4" ht="36.75" customHeight="1">
      <c r="A791" s="649"/>
      <c r="B791" s="750" t="s">
        <v>3625</v>
      </c>
      <c r="C791" s="703">
        <v>6588</v>
      </c>
      <c r="D791" s="746" t="s">
        <v>1398</v>
      </c>
    </row>
    <row r="792" spans="1:4" ht="36.75" customHeight="1">
      <c r="A792" s="649"/>
      <c r="B792" s="750" t="s">
        <v>6246</v>
      </c>
      <c r="C792" s="703">
        <v>593</v>
      </c>
      <c r="D792" s="752" t="s">
        <v>1398</v>
      </c>
    </row>
    <row r="793" spans="1:4" ht="36.75" customHeight="1">
      <c r="A793" s="753"/>
      <c r="B793" s="754" t="s">
        <v>4387</v>
      </c>
      <c r="C793" s="755"/>
      <c r="D793" s="756"/>
    </row>
    <row r="794" spans="1:4" s="757" customFormat="1" ht="36.75" customHeight="1">
      <c r="A794" s="649"/>
      <c r="B794" s="702" t="s">
        <v>3571</v>
      </c>
      <c r="C794" s="703">
        <v>6300</v>
      </c>
      <c r="D794" s="705" t="s">
        <v>2283</v>
      </c>
    </row>
    <row r="795" spans="1:4" ht="36.75" customHeight="1">
      <c r="A795" s="649"/>
      <c r="B795" s="702" t="s">
        <v>3572</v>
      </c>
      <c r="C795" s="703">
        <v>6300</v>
      </c>
      <c r="D795" s="705" t="s">
        <v>2283</v>
      </c>
    </row>
    <row r="796" spans="1:4" ht="36.75" customHeight="1">
      <c r="A796" s="649"/>
      <c r="B796" s="702" t="s">
        <v>3573</v>
      </c>
      <c r="C796" s="703">
        <v>6300</v>
      </c>
      <c r="D796" s="705" t="s">
        <v>2283</v>
      </c>
    </row>
    <row r="797" spans="1:4" ht="36.75" customHeight="1">
      <c r="A797" s="649"/>
      <c r="B797" s="702" t="s">
        <v>3574</v>
      </c>
      <c r="C797" s="703">
        <v>6300</v>
      </c>
      <c r="D797" s="705" t="s">
        <v>2283</v>
      </c>
    </row>
    <row r="798" spans="1:4" ht="36.75" customHeight="1">
      <c r="A798" s="649"/>
      <c r="B798" s="702" t="s">
        <v>3575</v>
      </c>
      <c r="C798" s="703">
        <v>6300</v>
      </c>
      <c r="D798" s="705" t="s">
        <v>2283</v>
      </c>
    </row>
    <row r="799" spans="1:4" ht="36.75" customHeight="1">
      <c r="A799" s="649"/>
      <c r="B799" s="702">
        <v>0</v>
      </c>
      <c r="C799" s="703">
        <v>6300</v>
      </c>
      <c r="D799" s="705" t="s">
        <v>2283</v>
      </c>
    </row>
    <row r="800" spans="1:4" ht="36.75" customHeight="1">
      <c r="A800" s="649"/>
      <c r="B800" s="702" t="s">
        <v>3576</v>
      </c>
      <c r="C800" s="703">
        <v>6300</v>
      </c>
      <c r="D800" s="705" t="s">
        <v>2283</v>
      </c>
    </row>
    <row r="801" spans="1:4" ht="36.75" customHeight="1">
      <c r="A801" s="649"/>
      <c r="B801" s="702" t="s">
        <v>3577</v>
      </c>
      <c r="C801" s="703">
        <v>6300</v>
      </c>
      <c r="D801" s="705" t="s">
        <v>2283</v>
      </c>
    </row>
    <row r="802" spans="1:4" ht="36.75" customHeight="1">
      <c r="A802" s="649"/>
      <c r="B802" s="690" t="s">
        <v>3616</v>
      </c>
      <c r="C802" s="661">
        <v>5654</v>
      </c>
      <c r="D802" s="719" t="s">
        <v>3617</v>
      </c>
    </row>
    <row r="803" spans="1:4" ht="36.75" customHeight="1">
      <c r="A803" s="649"/>
      <c r="B803" s="758" t="s">
        <v>5935</v>
      </c>
      <c r="C803" s="654">
        <v>8106</v>
      </c>
      <c r="D803" s="746" t="s">
        <v>2283</v>
      </c>
    </row>
    <row r="804" spans="1:4" ht="36.75" customHeight="1">
      <c r="A804" s="649"/>
      <c r="B804" s="758" t="s">
        <v>5933</v>
      </c>
      <c r="C804" s="654">
        <v>7482</v>
      </c>
      <c r="D804" s="746" t="s">
        <v>2283</v>
      </c>
    </row>
    <row r="805" spans="1:4" ht="36.75" customHeight="1">
      <c r="A805" s="649"/>
      <c r="B805" s="690" t="s">
        <v>5081</v>
      </c>
      <c r="C805" s="703">
        <v>25000</v>
      </c>
      <c r="D805" s="705" t="s">
        <v>282</v>
      </c>
    </row>
    <row r="806" spans="1:4" ht="36.75" customHeight="1">
      <c r="A806" s="649"/>
      <c r="B806" s="690" t="s">
        <v>5934</v>
      </c>
      <c r="C806" s="669">
        <v>2419</v>
      </c>
      <c r="D806" s="759" t="s">
        <v>2283</v>
      </c>
    </row>
    <row r="807" spans="1:4" ht="36.75" customHeight="1">
      <c r="A807" s="649"/>
      <c r="B807" s="760" t="s">
        <v>4998</v>
      </c>
      <c r="C807" s="761"/>
      <c r="D807" s="762"/>
    </row>
    <row r="808" spans="1:4" ht="36.75" customHeight="1">
      <c r="A808" s="649"/>
      <c r="B808" s="758" t="s">
        <v>3598</v>
      </c>
      <c r="C808" s="703"/>
      <c r="D808" s="705"/>
    </row>
    <row r="809" spans="1:4" ht="36.75" customHeight="1">
      <c r="A809" s="649"/>
      <c r="B809" s="763" t="s">
        <v>4389</v>
      </c>
      <c r="C809" s="764">
        <f>Data!X3596</f>
        <v>2715.07</v>
      </c>
      <c r="D809" s="765" t="s">
        <v>2283</v>
      </c>
    </row>
    <row r="810" spans="1:4" ht="36.75" customHeight="1">
      <c r="A810" s="649"/>
      <c r="B810" s="766" t="s">
        <v>5083</v>
      </c>
      <c r="C810" s="764">
        <f>Data!X3613</f>
        <v>2731.19</v>
      </c>
      <c r="D810" s="705" t="s">
        <v>2283</v>
      </c>
    </row>
    <row r="811" spans="1:4" ht="36.75" customHeight="1">
      <c r="A811" s="649"/>
      <c r="B811" s="763" t="s">
        <v>4390</v>
      </c>
      <c r="C811" s="764">
        <f>Data!X3581</f>
        <v>2757.48</v>
      </c>
      <c r="D811" s="705" t="s">
        <v>2283</v>
      </c>
    </row>
    <row r="812" spans="1:4" ht="36.75" customHeight="1">
      <c r="A812" s="649"/>
      <c r="B812" s="766" t="s">
        <v>5084</v>
      </c>
      <c r="C812" s="764">
        <f>Data!X3565</f>
        <v>2831.79</v>
      </c>
      <c r="D812" s="705" t="s">
        <v>2283</v>
      </c>
    </row>
    <row r="813" spans="1:4" ht="36.75" customHeight="1">
      <c r="A813" s="649"/>
      <c r="B813" s="763" t="s">
        <v>4391</v>
      </c>
      <c r="C813" s="764">
        <f>Data!K3533</f>
        <v>2964.88</v>
      </c>
      <c r="D813" s="705" t="s">
        <v>2283</v>
      </c>
    </row>
    <row r="814" spans="1:4" ht="36.75" customHeight="1">
      <c r="A814" s="649"/>
      <c r="B814" s="766" t="s">
        <v>5082</v>
      </c>
      <c r="C814" s="767">
        <f>Data!X3628</f>
        <v>2989.57</v>
      </c>
      <c r="D814" s="705" t="s">
        <v>2283</v>
      </c>
    </row>
    <row r="815" spans="1:4" ht="36.75" customHeight="1">
      <c r="A815" s="649"/>
      <c r="B815" s="763" t="s">
        <v>4392</v>
      </c>
      <c r="C815" s="764">
        <f>Data!K3549</f>
        <v>2798.45</v>
      </c>
      <c r="D815" s="705" t="s">
        <v>2283</v>
      </c>
    </row>
    <row r="816" spans="1:4" ht="36.75" customHeight="1">
      <c r="A816" s="649"/>
      <c r="B816" s="763" t="s">
        <v>4393</v>
      </c>
      <c r="C816" s="764">
        <f>Data!X3549</f>
        <v>2771.11</v>
      </c>
      <c r="D816" s="705" t="s">
        <v>2283</v>
      </c>
    </row>
    <row r="817" spans="1:4" ht="36.75" customHeight="1">
      <c r="A817" s="649"/>
      <c r="B817" s="766" t="s">
        <v>4394</v>
      </c>
      <c r="C817" s="764">
        <f>Data!AG3549</f>
        <v>2865.54</v>
      </c>
      <c r="D817" s="705" t="s">
        <v>2283</v>
      </c>
    </row>
    <row r="818" spans="1:4" ht="36.75" customHeight="1">
      <c r="A818" s="649"/>
      <c r="B818" s="766" t="s">
        <v>5085</v>
      </c>
      <c r="C818" s="764">
        <f>Data!AD3629</f>
        <v>2264.29</v>
      </c>
      <c r="D818" s="705" t="s">
        <v>2283</v>
      </c>
    </row>
    <row r="819" spans="1:4" ht="36.75" customHeight="1">
      <c r="A819" s="649"/>
      <c r="B819" s="650" t="s">
        <v>3578</v>
      </c>
      <c r="C819" s="654">
        <f>Data!K2353</f>
        <v>32.85</v>
      </c>
      <c r="D819" s="719" t="s">
        <v>2283</v>
      </c>
    </row>
    <row r="820" spans="1:4" ht="36.75" customHeight="1">
      <c r="A820" s="649"/>
      <c r="B820" s="758" t="s">
        <v>4946</v>
      </c>
      <c r="C820" s="654"/>
      <c r="D820" s="719"/>
    </row>
    <row r="821" spans="1:4" ht="36.75" customHeight="1">
      <c r="A821" s="649"/>
      <c r="B821" s="650" t="s">
        <v>1252</v>
      </c>
      <c r="C821" s="654">
        <f>Data!AD1197</f>
        <v>1961.51</v>
      </c>
      <c r="D821" s="719" t="s">
        <v>2283</v>
      </c>
    </row>
    <row r="822" spans="1:4" ht="36.75" customHeight="1">
      <c r="A822" s="649"/>
      <c r="B822" s="650" t="s">
        <v>1386</v>
      </c>
      <c r="C822" s="654">
        <f>Data!AD1198</f>
        <v>1966.23</v>
      </c>
      <c r="D822" s="719" t="s">
        <v>2283</v>
      </c>
    </row>
    <row r="823" spans="1:4" ht="36.75" customHeight="1">
      <c r="A823" s="649"/>
      <c r="B823" s="650" t="s">
        <v>1434</v>
      </c>
      <c r="C823" s="654">
        <f>Data!AD1199</f>
        <v>1970.95</v>
      </c>
      <c r="D823" s="719" t="s">
        <v>2283</v>
      </c>
    </row>
    <row r="824" spans="1:4" ht="36.75" customHeight="1">
      <c r="A824" s="649"/>
      <c r="B824" s="650" t="s">
        <v>1324</v>
      </c>
      <c r="C824" s="654">
        <f>Data!AD1200</f>
        <v>1975.67</v>
      </c>
      <c r="D824" s="719" t="s">
        <v>2283</v>
      </c>
    </row>
    <row r="825" spans="1:4" ht="36.75" customHeight="1">
      <c r="A825" s="656"/>
      <c r="B825" s="768" t="s">
        <v>4680</v>
      </c>
      <c r="C825" s="658"/>
      <c r="D825" s="725"/>
    </row>
    <row r="826" spans="1:4" s="660" customFormat="1" ht="36.75" customHeight="1">
      <c r="A826" s="656"/>
      <c r="B826" s="657" t="s">
        <v>1252</v>
      </c>
      <c r="C826" s="658">
        <f>Data!AK1197</f>
        <v>1109.31</v>
      </c>
      <c r="D826" s="725" t="s">
        <v>2283</v>
      </c>
    </row>
    <row r="827" spans="1:4" s="660" customFormat="1" ht="36.75" customHeight="1">
      <c r="A827" s="656"/>
      <c r="B827" s="657" t="s">
        <v>1386</v>
      </c>
      <c r="C827" s="658">
        <f>Data!AK1198</f>
        <v>1111.67</v>
      </c>
      <c r="D827" s="725" t="s">
        <v>2283</v>
      </c>
    </row>
    <row r="828" spans="1:4" s="660" customFormat="1" ht="36.75" customHeight="1">
      <c r="A828" s="656"/>
      <c r="B828" s="657" t="s">
        <v>1434</v>
      </c>
      <c r="C828" s="658">
        <f>Data!AK1199</f>
        <v>1114.03</v>
      </c>
      <c r="D828" s="725" t="s">
        <v>2283</v>
      </c>
    </row>
    <row r="829" spans="1:4" s="660" customFormat="1" ht="36.75" customHeight="1">
      <c r="A829" s="656"/>
      <c r="B829" s="657" t="s">
        <v>4249</v>
      </c>
      <c r="C829" s="658">
        <f>Data!AK1200</f>
        <v>1115.98</v>
      </c>
      <c r="D829" s="725" t="s">
        <v>2283</v>
      </c>
    </row>
    <row r="830" spans="1:4" s="660" customFormat="1" ht="36.75" customHeight="1">
      <c r="A830" s="649"/>
      <c r="B830" s="747" t="s">
        <v>3801</v>
      </c>
      <c r="C830" s="703"/>
      <c r="D830" s="705"/>
    </row>
    <row r="831" spans="1:4" ht="36.75" customHeight="1">
      <c r="A831" s="649"/>
      <c r="B831" s="769" t="s">
        <v>4376</v>
      </c>
      <c r="C831" s="703">
        <f>Data!R1486</f>
        <v>5118.3999999999996</v>
      </c>
      <c r="D831" s="705" t="s">
        <v>2283</v>
      </c>
    </row>
    <row r="832" spans="1:4" ht="36.75" customHeight="1">
      <c r="A832" s="649"/>
      <c r="B832" s="769" t="s">
        <v>4215</v>
      </c>
      <c r="C832" s="703">
        <f>Data!R1479</f>
        <v>5115.5600000000004</v>
      </c>
      <c r="D832" s="705" t="s">
        <v>2283</v>
      </c>
    </row>
    <row r="833" spans="1:4" ht="36.75" customHeight="1">
      <c r="A833" s="649"/>
      <c r="B833" s="769" t="s">
        <v>3802</v>
      </c>
      <c r="C833" s="703">
        <f>Data!R1479</f>
        <v>5115.5600000000004</v>
      </c>
      <c r="D833" s="705" t="s">
        <v>2283</v>
      </c>
    </row>
    <row r="834" spans="1:4" ht="36.75" customHeight="1">
      <c r="A834" s="649"/>
      <c r="B834" s="769" t="s">
        <v>3949</v>
      </c>
      <c r="C834" s="703">
        <f>Data!X1447</f>
        <v>5345.47</v>
      </c>
      <c r="D834" s="705" t="s">
        <v>2283</v>
      </c>
    </row>
    <row r="835" spans="1:4" ht="36.75" customHeight="1">
      <c r="A835" s="649"/>
      <c r="B835" s="769" t="s">
        <v>3948</v>
      </c>
      <c r="C835" s="703">
        <f>Data!X1440</f>
        <v>5680.39</v>
      </c>
      <c r="D835" s="705" t="s">
        <v>2283</v>
      </c>
    </row>
    <row r="836" spans="1:4" ht="36.75" customHeight="1">
      <c r="A836" s="649"/>
      <c r="B836" s="747" t="str">
        <f>'[5]Bldg+Dev'!$B$566</f>
        <v>Supply &amp; Fixing of MS door  (for lockup door )</v>
      </c>
      <c r="C836" s="654"/>
      <c r="D836" s="719"/>
    </row>
    <row r="837" spans="1:4" ht="36.75" customHeight="1">
      <c r="A837" s="649"/>
      <c r="B837" s="720" t="s">
        <v>2050</v>
      </c>
      <c r="C837" s="654">
        <f>Data!K2545</f>
        <v>9385.85</v>
      </c>
      <c r="D837" s="719" t="s">
        <v>1714</v>
      </c>
    </row>
    <row r="838" spans="1:4" ht="36.75" customHeight="1">
      <c r="A838" s="649"/>
      <c r="B838" s="720" t="s">
        <v>598</v>
      </c>
      <c r="C838" s="654">
        <f>Data!K2580</f>
        <v>6112.29</v>
      </c>
      <c r="D838" s="719" t="s">
        <v>1398</v>
      </c>
    </row>
    <row r="839" spans="1:4" ht="36.75" customHeight="1">
      <c r="A839" s="649"/>
      <c r="B839" s="749" t="s">
        <v>6371</v>
      </c>
      <c r="C839" s="654"/>
      <c r="D839" s="719"/>
    </row>
    <row r="840" spans="1:4" ht="36.75" customHeight="1">
      <c r="A840" s="649"/>
      <c r="B840" s="720" t="s">
        <v>2207</v>
      </c>
      <c r="C840" s="654">
        <f>Data!K2473</f>
        <v>4297.0600000000004</v>
      </c>
      <c r="D840" s="719" t="s">
        <v>2283</v>
      </c>
    </row>
    <row r="841" spans="1:4" ht="36.75" customHeight="1">
      <c r="A841" s="649"/>
      <c r="B841" s="720" t="s">
        <v>4374</v>
      </c>
      <c r="C841" s="703">
        <f>Data!J3860</f>
        <v>0</v>
      </c>
      <c r="D841" s="705" t="s">
        <v>2283</v>
      </c>
    </row>
    <row r="842" spans="1:4" ht="36.75" customHeight="1">
      <c r="A842" s="649"/>
      <c r="B842" s="720" t="s">
        <v>4375</v>
      </c>
      <c r="C842" s="703">
        <f>Data!R2521</f>
        <v>4348.82</v>
      </c>
      <c r="D842" s="705" t="s">
        <v>2283</v>
      </c>
    </row>
    <row r="843" spans="1:4" ht="36.75" customHeight="1">
      <c r="A843" s="649"/>
      <c r="B843" s="720" t="s">
        <v>4093</v>
      </c>
      <c r="C843" s="703">
        <f>Data!J3881</f>
        <v>0</v>
      </c>
      <c r="D843" s="705" t="s">
        <v>2283</v>
      </c>
    </row>
    <row r="844" spans="1:4" ht="36.75" customHeight="1">
      <c r="A844" s="656"/>
      <c r="B844" s="720" t="s">
        <v>599</v>
      </c>
      <c r="C844" s="658">
        <f>C1419</f>
        <v>4881.1899999999996</v>
      </c>
      <c r="D844" s="725" t="s">
        <v>2283</v>
      </c>
    </row>
    <row r="845" spans="1:4" s="660" customFormat="1" ht="36.75" customHeight="1">
      <c r="A845" s="649"/>
      <c r="B845" s="720" t="s">
        <v>1900</v>
      </c>
      <c r="C845" s="654">
        <f>building!C1420</f>
        <v>5175.3599999999997</v>
      </c>
      <c r="D845" s="719" t="s">
        <v>2283</v>
      </c>
    </row>
    <row r="846" spans="1:4" ht="36.75" customHeight="1">
      <c r="A846" s="649"/>
      <c r="B846" s="720" t="s">
        <v>2206</v>
      </c>
      <c r="C846" s="654">
        <f>C1421</f>
        <v>4457.7700000000004</v>
      </c>
      <c r="D846" s="719" t="s">
        <v>2283</v>
      </c>
    </row>
    <row r="847" spans="1:4" ht="36.75" customHeight="1">
      <c r="A847" s="649"/>
      <c r="B847" s="650" t="s">
        <v>4104</v>
      </c>
      <c r="C847" s="703">
        <v>61.8</v>
      </c>
      <c r="D847" s="719" t="s">
        <v>1398</v>
      </c>
    </row>
    <row r="848" spans="1:4" ht="36.75" customHeight="1">
      <c r="A848" s="649"/>
      <c r="B848" s="650" t="s">
        <v>3627</v>
      </c>
      <c r="C848" s="703">
        <v>405</v>
      </c>
      <c r="D848" s="652" t="s">
        <v>826</v>
      </c>
    </row>
    <row r="849" spans="1:4" ht="36.75" customHeight="1">
      <c r="A849" s="649"/>
      <c r="B849" s="650" t="s">
        <v>3632</v>
      </c>
      <c r="C849" s="669">
        <v>325</v>
      </c>
      <c r="D849" s="759" t="s">
        <v>2283</v>
      </c>
    </row>
    <row r="850" spans="1:4" ht="36.75" customHeight="1">
      <c r="A850" s="649"/>
      <c r="B850" s="650" t="s">
        <v>3633</v>
      </c>
      <c r="C850" s="669">
        <v>35</v>
      </c>
      <c r="D850" s="759" t="s">
        <v>2283</v>
      </c>
    </row>
    <row r="851" spans="1:4" ht="36.75" customHeight="1">
      <c r="A851" s="649"/>
      <c r="B851" s="690" t="s">
        <v>6247</v>
      </c>
      <c r="C851" s="770">
        <f>Data!AQ3116</f>
        <v>252</v>
      </c>
      <c r="D851" s="705" t="s">
        <v>1398</v>
      </c>
    </row>
    <row r="852" spans="1:4" ht="36.75" customHeight="1">
      <c r="A852" s="649"/>
      <c r="B852" s="690" t="s">
        <v>6248</v>
      </c>
      <c r="C852" s="770">
        <f>Data!AR3116</f>
        <v>241</v>
      </c>
      <c r="D852" s="705" t="s">
        <v>1398</v>
      </c>
    </row>
    <row r="853" spans="1:4" ht="36.75" customHeight="1">
      <c r="A853" s="649"/>
      <c r="B853" s="690" t="s">
        <v>3630</v>
      </c>
      <c r="C853" s="771">
        <f>Elec.Data!R807</f>
        <v>3458.67</v>
      </c>
      <c r="D853" s="701" t="s">
        <v>1398</v>
      </c>
    </row>
    <row r="854" spans="1:4" ht="36.75" customHeight="1">
      <c r="A854" s="649"/>
      <c r="B854" s="650" t="s">
        <v>5727</v>
      </c>
      <c r="C854" s="650">
        <f>Data!K2343</f>
        <v>999.28</v>
      </c>
      <c r="D854" s="652" t="s">
        <v>826</v>
      </c>
    </row>
    <row r="855" spans="1:4" ht="36.75" customHeight="1">
      <c r="A855" s="649"/>
      <c r="B855" s="650" t="s">
        <v>5728</v>
      </c>
      <c r="C855" s="650">
        <f>Data!R2448</f>
        <v>960.63</v>
      </c>
      <c r="D855" s="652"/>
    </row>
    <row r="856" spans="1:4" ht="36.75" customHeight="1">
      <c r="A856" s="649"/>
      <c r="B856" s="650" t="s">
        <v>5086</v>
      </c>
      <c r="C856" s="703">
        <f>Data!X1347</f>
        <v>1694.86</v>
      </c>
      <c r="D856" s="652" t="s">
        <v>1842</v>
      </c>
    </row>
    <row r="857" spans="1:4" ht="36.75" customHeight="1">
      <c r="A857" s="649"/>
      <c r="B857" s="650" t="s">
        <v>5229</v>
      </c>
      <c r="C857" s="703">
        <f>C856-(Data!X1341/10)</f>
        <v>1458.09</v>
      </c>
      <c r="D857" s="652" t="s">
        <v>1842</v>
      </c>
    </row>
    <row r="858" spans="1:4" ht="36.75" customHeight="1">
      <c r="A858" s="649"/>
      <c r="B858" s="650" t="s">
        <v>4947</v>
      </c>
      <c r="C858" s="703">
        <f>C1430</f>
        <v>1653.72</v>
      </c>
      <c r="D858" s="652" t="s">
        <v>1842</v>
      </c>
    </row>
    <row r="859" spans="1:4" ht="36.75" customHeight="1">
      <c r="A859" s="649" t="s">
        <v>1331</v>
      </c>
      <c r="B859" s="650" t="s">
        <v>1408</v>
      </c>
      <c r="C859" s="661">
        <f>Data!K1797</f>
        <v>2010</v>
      </c>
      <c r="D859" s="652" t="s">
        <v>1398</v>
      </c>
    </row>
    <row r="860" spans="1:4" ht="36.75" customHeight="1">
      <c r="A860" s="649"/>
      <c r="B860" s="664" t="s">
        <v>3819</v>
      </c>
      <c r="C860" s="661"/>
      <c r="D860" s="652"/>
    </row>
    <row r="861" spans="1:4" ht="36.75" customHeight="1">
      <c r="A861" s="656"/>
      <c r="B861" s="657" t="s">
        <v>3820</v>
      </c>
      <c r="C861" s="772">
        <f>Data!K3677</f>
        <v>480.93</v>
      </c>
      <c r="D861" s="659" t="s">
        <v>826</v>
      </c>
    </row>
    <row r="862" spans="1:4" s="660" customFormat="1" ht="36.75" customHeight="1">
      <c r="A862" s="656"/>
      <c r="B862" s="657" t="s">
        <v>3986</v>
      </c>
      <c r="C862" s="772">
        <f>Data!K3697</f>
        <v>805.14</v>
      </c>
      <c r="D862" s="659" t="s">
        <v>826</v>
      </c>
    </row>
    <row r="863" spans="1:4" s="660" customFormat="1" ht="36.75" customHeight="1">
      <c r="A863" s="656"/>
      <c r="B863" s="665" t="s">
        <v>3821</v>
      </c>
      <c r="C863" s="772"/>
      <c r="D863" s="659"/>
    </row>
    <row r="864" spans="1:4" s="660" customFormat="1" ht="36.75" customHeight="1">
      <c r="A864" s="656"/>
      <c r="B864" s="657" t="s">
        <v>5584</v>
      </c>
      <c r="C864" s="772">
        <v>173</v>
      </c>
      <c r="D864" s="659" t="s">
        <v>1398</v>
      </c>
    </row>
    <row r="865" spans="1:4" s="660" customFormat="1" ht="36.75" customHeight="1">
      <c r="A865" s="656"/>
      <c r="B865" s="657" t="s">
        <v>5585</v>
      </c>
      <c r="C865" s="772">
        <v>553</v>
      </c>
      <c r="D865" s="659" t="s">
        <v>1398</v>
      </c>
    </row>
    <row r="866" spans="1:4" s="660" customFormat="1" ht="36.75" customHeight="1">
      <c r="A866" s="656"/>
      <c r="B866" s="665" t="s">
        <v>3822</v>
      </c>
      <c r="C866" s="772"/>
      <c r="D866" s="659"/>
    </row>
    <row r="867" spans="1:4" s="660" customFormat="1" ht="36.75" customHeight="1">
      <c r="A867" s="656"/>
      <c r="B867" s="657" t="s">
        <v>5586</v>
      </c>
      <c r="C867" s="772">
        <v>195</v>
      </c>
      <c r="D867" s="659" t="s">
        <v>1398</v>
      </c>
    </row>
    <row r="868" spans="1:4" s="660" customFormat="1" ht="36.75" customHeight="1">
      <c r="A868" s="656"/>
      <c r="B868" s="657" t="s">
        <v>4943</v>
      </c>
      <c r="C868" s="772">
        <v>367</v>
      </c>
      <c r="D868" s="773" t="s">
        <v>1398</v>
      </c>
    </row>
    <row r="869" spans="1:4" s="660" customFormat="1" ht="61.5" customHeight="1">
      <c r="A869" s="656"/>
      <c r="B869" s="657" t="s">
        <v>6249</v>
      </c>
      <c r="C869" s="774">
        <f>Data!R1978</f>
        <v>3324.6</v>
      </c>
      <c r="D869" s="659" t="s">
        <v>1398</v>
      </c>
    </row>
    <row r="870" spans="1:4" s="660" customFormat="1" ht="61.5" customHeight="1">
      <c r="A870" s="656"/>
      <c r="B870" s="657" t="s">
        <v>6250</v>
      </c>
      <c r="C870" s="774">
        <f>Data!R1999</f>
        <v>5146.1899999999996</v>
      </c>
      <c r="D870" s="659" t="s">
        <v>1398</v>
      </c>
    </row>
    <row r="871" spans="1:4" s="660" customFormat="1" ht="61.5" customHeight="1">
      <c r="A871" s="656"/>
      <c r="B871" s="657" t="s">
        <v>6251</v>
      </c>
      <c r="C871" s="772">
        <f>Data!R2018</f>
        <v>7084.3</v>
      </c>
      <c r="D871" s="659" t="s">
        <v>1398</v>
      </c>
    </row>
    <row r="872" spans="1:4" s="660" customFormat="1" ht="61.5" customHeight="1">
      <c r="A872" s="656"/>
      <c r="B872" s="657" t="s">
        <v>6252</v>
      </c>
      <c r="C872" s="772">
        <f>Data!R2037</f>
        <v>7478.3</v>
      </c>
      <c r="D872" s="659" t="s">
        <v>1398</v>
      </c>
    </row>
    <row r="873" spans="1:4" s="660" customFormat="1" ht="36.75" customHeight="1">
      <c r="A873" s="649"/>
      <c r="B873" s="749" t="s">
        <v>4521</v>
      </c>
      <c r="C873" s="703"/>
      <c r="D873" s="652"/>
    </row>
    <row r="874" spans="1:4" ht="36.75" customHeight="1">
      <c r="A874" s="649"/>
      <c r="B874" s="720" t="s">
        <v>3835</v>
      </c>
      <c r="C874" s="755">
        <f>'Sliding and french window'!F595</f>
        <v>2118.38</v>
      </c>
      <c r="D874" s="759" t="s">
        <v>2283</v>
      </c>
    </row>
    <row r="875" spans="1:4" ht="36.75" customHeight="1">
      <c r="A875" s="649"/>
      <c r="B875" s="720" t="s">
        <v>3836</v>
      </c>
      <c r="C875" s="703">
        <f>'Sliding and french window'!F558</f>
        <v>2413.36</v>
      </c>
      <c r="D875" s="759" t="s">
        <v>2283</v>
      </c>
    </row>
    <row r="876" spans="1:4" ht="36.75" customHeight="1">
      <c r="A876" s="649"/>
      <c r="B876" s="720" t="s">
        <v>3837</v>
      </c>
      <c r="C876" s="703">
        <f>'Sliding and french window'!F630</f>
        <v>2413.37</v>
      </c>
      <c r="D876" s="759" t="s">
        <v>2283</v>
      </c>
    </row>
    <row r="877" spans="1:4" ht="36.75" customHeight="1">
      <c r="A877" s="649"/>
      <c r="B877" s="720" t="s">
        <v>3838</v>
      </c>
      <c r="C877" s="703">
        <f>'Sliding and french window'!F666</f>
        <v>2870.15</v>
      </c>
      <c r="D877" s="759" t="s">
        <v>2283</v>
      </c>
    </row>
    <row r="878" spans="1:4" ht="36.75" customHeight="1">
      <c r="A878" s="649"/>
      <c r="B878" s="720" t="s">
        <v>4522</v>
      </c>
      <c r="C878" s="703">
        <f>'Sliding and french window'!F702</f>
        <v>3714.01</v>
      </c>
      <c r="D878" s="759" t="s">
        <v>2283</v>
      </c>
    </row>
    <row r="879" spans="1:4" ht="36.75" customHeight="1">
      <c r="A879" s="649"/>
      <c r="B879" s="747" t="s">
        <v>4525</v>
      </c>
      <c r="C879" s="669">
        <f>Data!X3168</f>
        <v>3446.86</v>
      </c>
      <c r="D879" s="690" t="s">
        <v>2283</v>
      </c>
    </row>
    <row r="880" spans="1:4" ht="99" customHeight="1">
      <c r="A880" s="649"/>
      <c r="B880" s="664" t="s">
        <v>3913</v>
      </c>
      <c r="C880" s="703"/>
      <c r="D880" s="723"/>
    </row>
    <row r="881" spans="1:4" ht="36.75" customHeight="1">
      <c r="A881" s="649"/>
      <c r="B881" s="650" t="s">
        <v>2142</v>
      </c>
      <c r="C881" s="703">
        <f>'  Coastal  Elec.Data '!K2860</f>
        <v>1678.69</v>
      </c>
      <c r="D881" s="719" t="s">
        <v>1398</v>
      </c>
    </row>
    <row r="882" spans="1:4" ht="36.75" customHeight="1">
      <c r="A882" s="649"/>
      <c r="B882" s="650" t="s">
        <v>1270</v>
      </c>
      <c r="C882" s="703">
        <f>'  Coastal  Elec.Data '!K2884</f>
        <v>1681.79</v>
      </c>
      <c r="D882" s="719" t="s">
        <v>1398</v>
      </c>
    </row>
    <row r="883" spans="1:4" ht="36.75" customHeight="1">
      <c r="A883" s="669"/>
      <c r="B883" s="650" t="s">
        <v>299</v>
      </c>
      <c r="C883" s="703">
        <f>'  Coastal  Elec.Data '!K2899</f>
        <v>1711.44</v>
      </c>
      <c r="D883" s="719" t="s">
        <v>1398</v>
      </c>
    </row>
    <row r="884" spans="1:4" ht="68.25" customHeight="1">
      <c r="A884" s="649"/>
      <c r="B884" s="650" t="s">
        <v>6253</v>
      </c>
      <c r="C884" s="703">
        <f>'  Coastal  Elec.Data '!K2921</f>
        <v>1734.1</v>
      </c>
      <c r="D884" s="719" t="s">
        <v>1398</v>
      </c>
    </row>
    <row r="885" spans="1:4" ht="68.25" customHeight="1">
      <c r="A885" s="649"/>
      <c r="B885" s="650" t="s">
        <v>6254</v>
      </c>
      <c r="C885" s="703">
        <f>'  Coastal  Elec.Data '!K2945</f>
        <v>3158.59</v>
      </c>
      <c r="D885" s="719" t="s">
        <v>1398</v>
      </c>
    </row>
    <row r="886" spans="1:4" ht="68.25" customHeight="1">
      <c r="A886" s="649">
        <v>67.099999999999994</v>
      </c>
      <c r="B886" s="650" t="s">
        <v>6255</v>
      </c>
      <c r="C886" s="703">
        <f>'  Coastal  Elec.Data '!K2977</f>
        <v>864.66</v>
      </c>
      <c r="D886" s="719" t="s">
        <v>1398</v>
      </c>
    </row>
    <row r="887" spans="1:4" ht="68.25" customHeight="1">
      <c r="A887" s="649"/>
      <c r="B887" s="650" t="s">
        <v>6256</v>
      </c>
      <c r="C887" s="703">
        <f>'  Coastal  Elec.Data '!K2965</f>
        <v>1161.3</v>
      </c>
      <c r="D887" s="719" t="s">
        <v>1398</v>
      </c>
    </row>
    <row r="888" spans="1:4" ht="68.25" customHeight="1">
      <c r="A888" s="649"/>
      <c r="B888" s="650" t="s">
        <v>6257</v>
      </c>
      <c r="C888" s="703">
        <f>'  Coastal  Elec.Data '!K2988</f>
        <v>134.47</v>
      </c>
      <c r="D888" s="719" t="s">
        <v>1398</v>
      </c>
    </row>
    <row r="889" spans="1:4" ht="68.25" customHeight="1">
      <c r="A889" s="649"/>
      <c r="B889" s="650" t="s">
        <v>6258</v>
      </c>
      <c r="C889" s="703">
        <f>Data!R1609</f>
        <v>89024.3</v>
      </c>
      <c r="D889" s="652" t="s">
        <v>528</v>
      </c>
    </row>
    <row r="890" spans="1:4" ht="68.25" customHeight="1">
      <c r="A890" s="649"/>
      <c r="B890" s="650" t="s">
        <v>6259</v>
      </c>
      <c r="C890" s="703">
        <f>Data!R1640</f>
        <v>347.53</v>
      </c>
      <c r="D890" s="652" t="s">
        <v>826</v>
      </c>
    </row>
    <row r="891" spans="1:4" ht="68.25" customHeight="1">
      <c r="A891" s="649"/>
      <c r="B891" s="664" t="s">
        <v>5087</v>
      </c>
      <c r="C891" s="703">
        <f>Data!K2331</f>
        <v>36.64</v>
      </c>
      <c r="D891" s="652"/>
    </row>
    <row r="892" spans="1:4" ht="68.25" customHeight="1">
      <c r="A892" s="649"/>
      <c r="B892" s="758" t="s">
        <v>3914</v>
      </c>
      <c r="C892" s="703"/>
      <c r="D892" s="652"/>
    </row>
    <row r="893" spans="1:4" ht="36.75" customHeight="1">
      <c r="A893" s="649"/>
      <c r="B893" s="650" t="s">
        <v>46</v>
      </c>
      <c r="C893" s="703">
        <f>Data!K1890</f>
        <v>252.01</v>
      </c>
      <c r="D893" s="652" t="s">
        <v>826</v>
      </c>
    </row>
    <row r="894" spans="1:4" ht="36.75" customHeight="1">
      <c r="A894" s="649"/>
      <c r="B894" s="650" t="s">
        <v>47</v>
      </c>
      <c r="C894" s="703">
        <f>Data!K1882</f>
        <v>234.4</v>
      </c>
      <c r="D894" s="652" t="s">
        <v>826</v>
      </c>
    </row>
    <row r="895" spans="1:4" ht="36.75" customHeight="1">
      <c r="A895" s="649"/>
      <c r="B895" s="650" t="s">
        <v>3857</v>
      </c>
      <c r="C895" s="703">
        <f>Data!K2767</f>
        <v>231.61</v>
      </c>
      <c r="D895" s="652" t="s">
        <v>826</v>
      </c>
    </row>
    <row r="896" spans="1:4" ht="36.75" customHeight="1">
      <c r="A896" s="649"/>
      <c r="B896" s="758" t="s">
        <v>3989</v>
      </c>
      <c r="C896" s="703">
        <f>Data!K3648</f>
        <v>370.07</v>
      </c>
      <c r="D896" s="719" t="s">
        <v>2283</v>
      </c>
    </row>
    <row r="897" spans="1:4" ht="36.75" customHeight="1">
      <c r="A897" s="656"/>
      <c r="B897" s="721" t="s">
        <v>3628</v>
      </c>
      <c r="C897" s="772">
        <f>Data!AF3115</f>
        <v>488</v>
      </c>
      <c r="D897" s="725" t="s">
        <v>1398</v>
      </c>
    </row>
    <row r="898" spans="1:4" s="660" customFormat="1" ht="36.75" customHeight="1">
      <c r="A898" s="656"/>
      <c r="B898" s="721" t="s">
        <v>3629</v>
      </c>
      <c r="C898" s="772">
        <f>Data!AH3115</f>
        <v>440</v>
      </c>
      <c r="D898" s="725" t="s">
        <v>1398</v>
      </c>
    </row>
    <row r="899" spans="1:4" s="660" customFormat="1" ht="36.75" customHeight="1">
      <c r="A899" s="649"/>
      <c r="B899" s="650" t="s">
        <v>3911</v>
      </c>
      <c r="C899" s="703">
        <v>51.4</v>
      </c>
      <c r="D899" s="759" t="s">
        <v>1645</v>
      </c>
    </row>
    <row r="900" spans="1:4" ht="36.75" customHeight="1">
      <c r="A900" s="656"/>
      <c r="B900" s="657" t="s">
        <v>4948</v>
      </c>
      <c r="C900" s="772">
        <f>Data!AD1229</f>
        <v>2294.71</v>
      </c>
      <c r="D900" s="725" t="s">
        <v>2283</v>
      </c>
    </row>
    <row r="901" spans="1:4" s="660" customFormat="1" ht="36.75" customHeight="1">
      <c r="A901" s="649" t="s">
        <v>3779</v>
      </c>
      <c r="B901" s="664" t="s">
        <v>4491</v>
      </c>
      <c r="C901" s="669"/>
      <c r="D901" s="669"/>
    </row>
    <row r="902" spans="1:4" ht="36.75" customHeight="1">
      <c r="A902" s="649"/>
      <c r="B902" s="664" t="s">
        <v>4130</v>
      </c>
      <c r="C902" s="775">
        <f>'pile data ( M30 grade) (2)'!F17</f>
        <v>5085.53</v>
      </c>
      <c r="D902" s="650" t="s">
        <v>826</v>
      </c>
    </row>
    <row r="903" spans="1:4" ht="36.75" customHeight="1">
      <c r="A903" s="649"/>
      <c r="B903" s="664" t="s">
        <v>4131</v>
      </c>
      <c r="C903" s="775">
        <f>'pile data ( M30 grade) (2)'!F81</f>
        <v>2491.7399999999998</v>
      </c>
      <c r="D903" s="650" t="s">
        <v>826</v>
      </c>
    </row>
    <row r="904" spans="1:4" ht="36.75" customHeight="1">
      <c r="A904" s="649"/>
      <c r="B904" s="664" t="s">
        <v>4132</v>
      </c>
      <c r="C904" s="775">
        <f>'pile data ( M30 grade) (2)'!F141</f>
        <v>2494.38</v>
      </c>
      <c r="D904" s="650" t="s">
        <v>826</v>
      </c>
    </row>
    <row r="905" spans="1:4" ht="36.75" customHeight="1">
      <c r="A905" s="649"/>
      <c r="B905" s="776" t="s">
        <v>3962</v>
      </c>
      <c r="C905" s="777"/>
      <c r="D905" s="778"/>
    </row>
    <row r="906" spans="1:4" ht="36.75" customHeight="1">
      <c r="A906" s="649"/>
      <c r="B906" s="664" t="s">
        <v>3963</v>
      </c>
      <c r="C906" s="779"/>
      <c r="D906" s="669"/>
    </row>
    <row r="907" spans="1:4" ht="36.75" customHeight="1">
      <c r="A907" s="649"/>
      <c r="B907" s="664" t="s">
        <v>4130</v>
      </c>
      <c r="C907" s="775">
        <f>'pile data ( M30 grade) (2)'!F28</f>
        <v>0</v>
      </c>
      <c r="D907" s="650" t="s">
        <v>826</v>
      </c>
    </row>
    <row r="908" spans="1:4" ht="36.75" customHeight="1">
      <c r="A908" s="649"/>
      <c r="B908" s="664" t="s">
        <v>4131</v>
      </c>
      <c r="C908" s="775">
        <f>'pile data ( M30 grade) (2)'!F92</f>
        <v>4.79</v>
      </c>
      <c r="D908" s="650" t="s">
        <v>826</v>
      </c>
    </row>
    <row r="909" spans="1:4" ht="36.75" customHeight="1">
      <c r="A909" s="649"/>
      <c r="B909" s="664" t="s">
        <v>4132</v>
      </c>
      <c r="C909" s="775">
        <f>'pile data ( M30 grade) (2)'!F152</f>
        <v>3.79</v>
      </c>
      <c r="D909" s="650" t="s">
        <v>826</v>
      </c>
    </row>
    <row r="910" spans="1:4" ht="36.75" customHeight="1">
      <c r="A910" s="649"/>
      <c r="B910" s="664" t="s">
        <v>3964</v>
      </c>
      <c r="C910" s="780">
        <v>50000</v>
      </c>
      <c r="D910" s="650" t="s">
        <v>1394</v>
      </c>
    </row>
    <row r="911" spans="1:4" ht="36.75" customHeight="1">
      <c r="A911" s="649"/>
      <c r="B911" s="664" t="s">
        <v>3965</v>
      </c>
      <c r="C911" s="780">
        <v>70000</v>
      </c>
      <c r="D911" s="650" t="s">
        <v>1394</v>
      </c>
    </row>
    <row r="912" spans="1:4" ht="36.75" customHeight="1">
      <c r="A912" s="649"/>
      <c r="B912" s="650" t="s">
        <v>6260</v>
      </c>
      <c r="C912" s="703">
        <v>713.54</v>
      </c>
      <c r="D912" s="652" t="s">
        <v>2283</v>
      </c>
    </row>
    <row r="913" spans="1:4" ht="81.75" customHeight="1">
      <c r="A913" s="649"/>
      <c r="B913" s="664" t="s">
        <v>4089</v>
      </c>
      <c r="C913" s="703"/>
      <c r="D913" s="652"/>
    </row>
    <row r="914" spans="1:4" ht="36.75" customHeight="1">
      <c r="A914" s="649"/>
      <c r="B914" s="650" t="s">
        <v>2142</v>
      </c>
      <c r="C914" s="703">
        <f>Elec.Data!K993</f>
        <v>921.2</v>
      </c>
      <c r="D914" s="652" t="s">
        <v>1398</v>
      </c>
    </row>
    <row r="915" spans="1:4" ht="36.75" customHeight="1">
      <c r="A915" s="649"/>
      <c r="B915" s="650" t="s">
        <v>1270</v>
      </c>
      <c r="C915" s="703">
        <f>Elec.Data!K1019</f>
        <v>923.2</v>
      </c>
      <c r="D915" s="652" t="s">
        <v>1398</v>
      </c>
    </row>
    <row r="916" spans="1:4" ht="36.75" customHeight="1">
      <c r="A916" s="649"/>
      <c r="B916" s="650" t="s">
        <v>6369</v>
      </c>
      <c r="C916" s="703">
        <f>Elec.Data!K1035</f>
        <v>961.2</v>
      </c>
      <c r="D916" s="652"/>
    </row>
    <row r="917" spans="1:4" ht="36.75" customHeight="1">
      <c r="A917" s="649"/>
      <c r="B917" s="650" t="s">
        <v>6261</v>
      </c>
      <c r="C917" s="703">
        <f>Elec.Data!K1096</f>
        <v>707.47</v>
      </c>
      <c r="D917" s="652" t="s">
        <v>1398</v>
      </c>
    </row>
    <row r="918" spans="1:4" ht="36.75" customHeight="1">
      <c r="A918" s="649"/>
      <c r="B918" s="650" t="s">
        <v>6262</v>
      </c>
      <c r="C918" s="703">
        <f>Elec.Data!K146</f>
        <v>869.5</v>
      </c>
      <c r="D918" s="652" t="s">
        <v>1398</v>
      </c>
    </row>
    <row r="919" spans="1:4" ht="36.75" customHeight="1">
      <c r="A919" s="649"/>
      <c r="B919" s="650" t="s">
        <v>6263</v>
      </c>
      <c r="C919" s="703">
        <f>Elec.Data!K1057</f>
        <v>1008.2</v>
      </c>
      <c r="D919" s="746" t="s">
        <v>1771</v>
      </c>
    </row>
    <row r="920" spans="1:4" ht="36.75" customHeight="1">
      <c r="A920" s="649"/>
      <c r="B920" s="664" t="s">
        <v>4127</v>
      </c>
      <c r="C920" s="703">
        <f>Data!K3792</f>
        <v>3879.13</v>
      </c>
      <c r="D920" s="652" t="s">
        <v>2283</v>
      </c>
    </row>
    <row r="921" spans="1:4" ht="36.75" customHeight="1">
      <c r="A921" s="649"/>
      <c r="B921" s="664" t="s">
        <v>4105</v>
      </c>
      <c r="C921" s="703">
        <f>Data!X3668</f>
        <v>6120.22</v>
      </c>
      <c r="D921" s="652" t="s">
        <v>2283</v>
      </c>
    </row>
    <row r="922" spans="1:4" ht="36.75" customHeight="1">
      <c r="A922" s="649"/>
      <c r="B922" s="664" t="s">
        <v>4126</v>
      </c>
      <c r="C922" s="703">
        <f>Data!X3696</f>
        <v>7903.15</v>
      </c>
      <c r="D922" s="652" t="s">
        <v>2283</v>
      </c>
    </row>
    <row r="923" spans="1:4" ht="36.75" customHeight="1">
      <c r="A923" s="649"/>
      <c r="B923" s="664" t="s">
        <v>4092</v>
      </c>
      <c r="C923" s="703">
        <f>Data!K3837</f>
        <v>1370.92</v>
      </c>
      <c r="D923" s="746" t="s">
        <v>2283</v>
      </c>
    </row>
    <row r="924" spans="1:4" ht="36.75" customHeight="1">
      <c r="A924" s="649"/>
      <c r="B924" s="690" t="s">
        <v>4091</v>
      </c>
      <c r="C924" s="703">
        <f>Data!K3814</f>
        <v>1660.99</v>
      </c>
      <c r="D924" s="746" t="s">
        <v>2283</v>
      </c>
    </row>
    <row r="925" spans="1:4" ht="36.75" customHeight="1">
      <c r="A925" s="649"/>
      <c r="B925" s="650" t="s">
        <v>5460</v>
      </c>
      <c r="C925" s="751">
        <v>1879</v>
      </c>
      <c r="D925" s="705" t="s">
        <v>1398</v>
      </c>
    </row>
    <row r="926" spans="1:4" ht="36.75" customHeight="1">
      <c r="A926" s="649"/>
      <c r="B926" s="657" t="s">
        <v>4138</v>
      </c>
      <c r="C926" s="726">
        <f>Elec.Data!K1266</f>
        <v>0</v>
      </c>
      <c r="D926" s="781" t="s">
        <v>1398</v>
      </c>
    </row>
    <row r="927" spans="1:4" ht="36.75" customHeight="1">
      <c r="A927" s="649"/>
      <c r="B927" s="657" t="s">
        <v>4388</v>
      </c>
      <c r="C927" s="726">
        <v>8100</v>
      </c>
      <c r="D927" s="781" t="s">
        <v>1398</v>
      </c>
    </row>
    <row r="928" spans="1:4" ht="36.75" customHeight="1">
      <c r="A928" s="656"/>
      <c r="B928" s="782" t="s">
        <v>4345</v>
      </c>
      <c r="C928" s="689">
        <v>829</v>
      </c>
      <c r="D928" s="725" t="s">
        <v>1398</v>
      </c>
    </row>
    <row r="929" spans="1:4" s="660" customFormat="1" ht="36.75" customHeight="1">
      <c r="A929" s="649"/>
      <c r="B929" s="783" t="s">
        <v>4139</v>
      </c>
      <c r="C929" s="784">
        <f>Elec.Data!R815</f>
        <v>8869</v>
      </c>
      <c r="D929" s="781" t="s">
        <v>1398</v>
      </c>
    </row>
    <row r="930" spans="1:4" ht="36.75" customHeight="1">
      <c r="A930" s="656">
        <v>21.6</v>
      </c>
      <c r="B930" s="665" t="s">
        <v>4310</v>
      </c>
      <c r="C930" s="658"/>
      <c r="D930" s="659"/>
    </row>
    <row r="931" spans="1:4" ht="36.75" customHeight="1">
      <c r="A931" s="733"/>
      <c r="B931" s="657" t="s">
        <v>573</v>
      </c>
      <c r="C931" s="658">
        <f>Data!K3950</f>
        <v>2801.79</v>
      </c>
      <c r="D931" s="659" t="s">
        <v>1398</v>
      </c>
    </row>
    <row r="932" spans="1:4" ht="36.75" customHeight="1">
      <c r="A932" s="685"/>
      <c r="B932" s="650" t="s">
        <v>3790</v>
      </c>
      <c r="C932" s="654">
        <f>Data!K3983</f>
        <v>3365.38</v>
      </c>
      <c r="D932" s="652" t="s">
        <v>1398</v>
      </c>
    </row>
    <row r="933" spans="1:4" ht="36.75" customHeight="1">
      <c r="A933" s="685"/>
      <c r="B933" s="650" t="s">
        <v>3694</v>
      </c>
      <c r="C933" s="654">
        <f>Data!K3966</f>
        <v>2763.27</v>
      </c>
      <c r="D933" s="652"/>
    </row>
    <row r="934" spans="1:4" ht="36.75" customHeight="1">
      <c r="A934" s="685"/>
      <c r="B934" s="650" t="s">
        <v>1904</v>
      </c>
      <c r="C934" s="661">
        <f>Data!K3932</f>
        <v>2824.7</v>
      </c>
      <c r="D934" s="652" t="s">
        <v>1398</v>
      </c>
    </row>
    <row r="935" spans="1:4" ht="36.75" customHeight="1">
      <c r="A935" s="685"/>
      <c r="B935" s="650" t="s">
        <v>6264</v>
      </c>
      <c r="C935" s="650">
        <v>135</v>
      </c>
      <c r="D935" s="652" t="s">
        <v>1398</v>
      </c>
    </row>
    <row r="936" spans="1:4" ht="36.75" customHeight="1">
      <c r="A936" s="685"/>
      <c r="B936" s="650" t="s">
        <v>4928</v>
      </c>
      <c r="C936" s="650">
        <f>Elec.Data!K959</f>
        <v>704.13</v>
      </c>
      <c r="D936" s="652" t="s">
        <v>1398</v>
      </c>
    </row>
    <row r="937" spans="1:4" ht="36.75" customHeight="1">
      <c r="A937" s="685"/>
      <c r="B937" s="650" t="s">
        <v>4690</v>
      </c>
      <c r="C937" s="650">
        <f>Elec.Data!K304</f>
        <v>529.20000000000005</v>
      </c>
      <c r="D937" s="652" t="s">
        <v>1398</v>
      </c>
    </row>
    <row r="938" spans="1:4" ht="36.75" customHeight="1">
      <c r="A938" s="685"/>
      <c r="B938" s="650" t="s">
        <v>4671</v>
      </c>
      <c r="C938" s="650">
        <f>Elec.Data!Y807</f>
        <v>4121.67</v>
      </c>
      <c r="D938" s="652" t="s">
        <v>1398</v>
      </c>
    </row>
    <row r="939" spans="1:4" ht="36.75" customHeight="1">
      <c r="A939" s="685"/>
      <c r="B939" s="650" t="s">
        <v>6265</v>
      </c>
      <c r="C939" s="650">
        <v>170</v>
      </c>
      <c r="D939" s="652" t="str">
        <f>D938</f>
        <v>Each</v>
      </c>
    </row>
    <row r="940" spans="1:4" ht="36.75" customHeight="1">
      <c r="A940" s="685"/>
      <c r="B940" s="665" t="s">
        <v>5938</v>
      </c>
      <c r="C940" s="785">
        <v>5508</v>
      </c>
      <c r="D940" s="659" t="s">
        <v>2283</v>
      </c>
    </row>
    <row r="941" spans="1:4" ht="36.75" customHeight="1">
      <c r="A941" s="685"/>
      <c r="B941" s="650" t="s">
        <v>4740</v>
      </c>
      <c r="C941" s="650">
        <f>Data!K3738</f>
        <v>95.19</v>
      </c>
      <c r="D941" s="652" t="s">
        <v>2283</v>
      </c>
    </row>
    <row r="942" spans="1:4" ht="36.75" customHeight="1">
      <c r="A942" s="685"/>
      <c r="B942" s="650" t="s">
        <v>4672</v>
      </c>
      <c r="C942" s="650">
        <f>'2 in 1 incl. F.E.'!F81</f>
        <v>40500</v>
      </c>
      <c r="D942" s="652" t="s">
        <v>1398</v>
      </c>
    </row>
    <row r="943" spans="1:4" ht="36.75" customHeight="1">
      <c r="A943" s="685"/>
      <c r="B943" s="650" t="s">
        <v>4708</v>
      </c>
      <c r="C943" s="650"/>
      <c r="D943" s="652"/>
    </row>
    <row r="944" spans="1:4" ht="36.75" customHeight="1">
      <c r="A944" s="685"/>
      <c r="B944" s="650" t="s">
        <v>4673</v>
      </c>
      <c r="C944" s="650">
        <v>31100</v>
      </c>
      <c r="D944" s="652" t="s">
        <v>1398</v>
      </c>
    </row>
    <row r="945" spans="1:4" ht="36.75" customHeight="1">
      <c r="A945" s="685"/>
      <c r="B945" s="650" t="s">
        <v>4709</v>
      </c>
      <c r="C945" s="650">
        <v>4160</v>
      </c>
      <c r="D945" s="652" t="s">
        <v>1398</v>
      </c>
    </row>
    <row r="946" spans="1:4" ht="36.75" customHeight="1">
      <c r="A946" s="685"/>
      <c r="B946" s="650" t="s">
        <v>4710</v>
      </c>
      <c r="C946" s="650">
        <v>880</v>
      </c>
      <c r="D946" s="652" t="s">
        <v>826</v>
      </c>
    </row>
    <row r="947" spans="1:4" ht="36.75" customHeight="1">
      <c r="A947" s="685"/>
      <c r="B947" s="650" t="s">
        <v>4711</v>
      </c>
      <c r="C947" s="650">
        <v>60</v>
      </c>
      <c r="D947" s="652" t="s">
        <v>826</v>
      </c>
    </row>
    <row r="948" spans="1:4" ht="36.75" customHeight="1">
      <c r="A948" s="685"/>
      <c r="B948" s="664" t="s">
        <v>4712</v>
      </c>
      <c r="C948" s="650"/>
      <c r="D948" s="652"/>
    </row>
    <row r="949" spans="1:4" ht="36.75" customHeight="1">
      <c r="A949" s="685"/>
      <c r="B949" s="650" t="s">
        <v>4685</v>
      </c>
      <c r="C949" s="650">
        <v>4200</v>
      </c>
      <c r="D949" s="652" t="s">
        <v>1432</v>
      </c>
    </row>
    <row r="950" spans="1:4" ht="36.75" customHeight="1">
      <c r="A950" s="685"/>
      <c r="B950" s="650" t="s">
        <v>4683</v>
      </c>
      <c r="C950" s="650">
        <v>840</v>
      </c>
      <c r="D950" s="652" t="s">
        <v>1432</v>
      </c>
    </row>
    <row r="951" spans="1:4" ht="36.75" customHeight="1">
      <c r="A951" s="685"/>
      <c r="B951" s="650" t="s">
        <v>4682</v>
      </c>
      <c r="C951" s="650">
        <v>720</v>
      </c>
      <c r="D951" s="652" t="s">
        <v>1432</v>
      </c>
    </row>
    <row r="952" spans="1:4" ht="36.75" customHeight="1">
      <c r="A952" s="685"/>
      <c r="B952" s="650" t="s">
        <v>4684</v>
      </c>
      <c r="C952" s="650">
        <v>320</v>
      </c>
      <c r="D952" s="652" t="s">
        <v>1432</v>
      </c>
    </row>
    <row r="953" spans="1:4" ht="36.75" customHeight="1">
      <c r="A953" s="685"/>
      <c r="B953" s="650" t="s">
        <v>4713</v>
      </c>
      <c r="C953" s="650">
        <v>450</v>
      </c>
      <c r="D953" s="652" t="s">
        <v>1432</v>
      </c>
    </row>
    <row r="954" spans="1:4" ht="36.75" customHeight="1">
      <c r="A954" s="685"/>
      <c r="B954" s="657" t="s">
        <v>4727</v>
      </c>
      <c r="C954" s="650">
        <f>Elec.Data!R842</f>
        <v>0</v>
      </c>
      <c r="D954" s="652" t="s">
        <v>1398</v>
      </c>
    </row>
    <row r="955" spans="1:4" ht="36.75" customHeight="1">
      <c r="A955" s="685"/>
      <c r="B955" s="758" t="s">
        <v>4675</v>
      </c>
      <c r="C955" s="690"/>
      <c r="D955" s="652"/>
    </row>
    <row r="956" spans="1:4" ht="36.75" customHeight="1">
      <c r="A956" s="685"/>
      <c r="B956" s="690" t="s">
        <v>4933</v>
      </c>
      <c r="C956" s="690">
        <v>60.6</v>
      </c>
      <c r="D956" s="652" t="s">
        <v>826</v>
      </c>
    </row>
    <row r="957" spans="1:4" ht="36.75" customHeight="1">
      <c r="A957" s="685"/>
      <c r="B957" s="690" t="s">
        <v>4932</v>
      </c>
      <c r="C957" s="690">
        <v>73.900000000000006</v>
      </c>
      <c r="D957" s="705" t="s">
        <v>3550</v>
      </c>
    </row>
    <row r="958" spans="1:4" ht="36.75" customHeight="1">
      <c r="A958" s="685"/>
      <c r="B958" s="690" t="s">
        <v>4930</v>
      </c>
      <c r="C958" s="690">
        <v>8559.9500000000007</v>
      </c>
      <c r="D958" s="705" t="s">
        <v>1432</v>
      </c>
    </row>
    <row r="959" spans="1:4" ht="36.75" customHeight="1">
      <c r="A959" s="685"/>
      <c r="B959" s="650" t="s">
        <v>4929</v>
      </c>
      <c r="C959" s="650">
        <v>29800</v>
      </c>
      <c r="D959" s="652" t="s">
        <v>1394</v>
      </c>
    </row>
    <row r="960" spans="1:4" ht="36.75" customHeight="1">
      <c r="A960" s="685"/>
      <c r="B960" s="650" t="s">
        <v>4677</v>
      </c>
      <c r="C960" s="650">
        <v>45169</v>
      </c>
      <c r="D960" s="652" t="s">
        <v>1394</v>
      </c>
    </row>
    <row r="961" spans="1:4" ht="36.75" customHeight="1">
      <c r="A961" s="685"/>
      <c r="B961" s="650" t="s">
        <v>4931</v>
      </c>
      <c r="C961" s="650">
        <v>4711</v>
      </c>
      <c r="D961" s="652" t="s">
        <v>1394</v>
      </c>
    </row>
    <row r="962" spans="1:4" ht="36.75" customHeight="1">
      <c r="A962" s="685"/>
      <c r="B962" s="650" t="s">
        <v>4691</v>
      </c>
      <c r="C962" s="650">
        <v>13006</v>
      </c>
      <c r="D962" s="652" t="s">
        <v>1394</v>
      </c>
    </row>
    <row r="963" spans="1:4" ht="36.75" customHeight="1">
      <c r="A963" s="685"/>
      <c r="B963" s="650" t="s">
        <v>4681</v>
      </c>
      <c r="C963" s="650">
        <v>161</v>
      </c>
      <c r="D963" s="652" t="s">
        <v>826</v>
      </c>
    </row>
    <row r="964" spans="1:4" ht="36.75" customHeight="1">
      <c r="A964" s="685"/>
      <c r="B964" s="650" t="s">
        <v>4692</v>
      </c>
      <c r="C964" s="650">
        <v>4200</v>
      </c>
      <c r="D964" s="652" t="s">
        <v>1432</v>
      </c>
    </row>
    <row r="965" spans="1:4" ht="36.75" customHeight="1">
      <c r="A965" s="685"/>
      <c r="B965" s="650" t="s">
        <v>4693</v>
      </c>
      <c r="C965" s="650">
        <v>840</v>
      </c>
      <c r="D965" s="652" t="s">
        <v>1432</v>
      </c>
    </row>
    <row r="966" spans="1:4" ht="36.75" customHeight="1">
      <c r="A966" s="685"/>
      <c r="B966" s="650" t="s">
        <v>4694</v>
      </c>
      <c r="C966" s="650">
        <v>720</v>
      </c>
      <c r="D966" s="652" t="s">
        <v>1432</v>
      </c>
    </row>
    <row r="967" spans="1:4" ht="36.75" customHeight="1">
      <c r="A967" s="685"/>
      <c r="B967" s="650" t="s">
        <v>4695</v>
      </c>
      <c r="C967" s="650">
        <v>320</v>
      </c>
      <c r="D967" s="652" t="s">
        <v>1432</v>
      </c>
    </row>
    <row r="968" spans="1:4" ht="36.75" customHeight="1">
      <c r="A968" s="685"/>
      <c r="B968" s="650" t="s">
        <v>4696</v>
      </c>
      <c r="C968" s="650">
        <v>450</v>
      </c>
      <c r="D968" s="652" t="s">
        <v>1432</v>
      </c>
    </row>
    <row r="969" spans="1:4" ht="36.75" customHeight="1">
      <c r="A969" s="685"/>
      <c r="B969" s="664" t="s">
        <v>4686</v>
      </c>
      <c r="C969" s="650"/>
      <c r="D969" s="652"/>
    </row>
    <row r="970" spans="1:4" ht="36.75" customHeight="1">
      <c r="A970" s="685"/>
      <c r="B970" s="650" t="s">
        <v>4687</v>
      </c>
      <c r="C970" s="650">
        <v>213.71</v>
      </c>
      <c r="D970" s="652" t="s">
        <v>826</v>
      </c>
    </row>
    <row r="971" spans="1:4" ht="36.75" customHeight="1">
      <c r="A971" s="685"/>
      <c r="B971" s="650" t="s">
        <v>4688</v>
      </c>
      <c r="C971" s="650">
        <v>297.85000000000002</v>
      </c>
      <c r="D971" s="652" t="s">
        <v>826</v>
      </c>
    </row>
    <row r="972" spans="1:4" ht="36.75" customHeight="1">
      <c r="A972" s="685"/>
      <c r="B972" s="650" t="s">
        <v>4697</v>
      </c>
      <c r="C972" s="650">
        <v>27844</v>
      </c>
      <c r="D972" s="652" t="s">
        <v>1432</v>
      </c>
    </row>
    <row r="973" spans="1:4" ht="36.75" customHeight="1">
      <c r="A973" s="685"/>
      <c r="B973" s="650" t="s">
        <v>4698</v>
      </c>
      <c r="C973" s="650">
        <v>22198</v>
      </c>
      <c r="D973" s="652" t="s">
        <v>1432</v>
      </c>
    </row>
    <row r="974" spans="1:4" ht="36.75" customHeight="1">
      <c r="A974" s="685"/>
      <c r="B974" s="650" t="s">
        <v>4707</v>
      </c>
      <c r="C974" s="650">
        <v>5500</v>
      </c>
      <c r="D974" s="652" t="s">
        <v>1398</v>
      </c>
    </row>
    <row r="975" spans="1:4" ht="36.75" customHeight="1">
      <c r="A975" s="685"/>
      <c r="B975" s="650" t="s">
        <v>4689</v>
      </c>
      <c r="C975" s="650">
        <v>12650</v>
      </c>
      <c r="D975" s="652" t="s">
        <v>1398</v>
      </c>
    </row>
    <row r="976" spans="1:4" ht="36.75" customHeight="1">
      <c r="A976" s="685"/>
      <c r="B976" s="650" t="s">
        <v>4699</v>
      </c>
      <c r="C976" s="650">
        <v>161</v>
      </c>
      <c r="D976" s="652" t="s">
        <v>826</v>
      </c>
    </row>
    <row r="977" spans="1:4" ht="36.75" customHeight="1">
      <c r="A977" s="685"/>
      <c r="B977" s="664" t="s">
        <v>4700</v>
      </c>
      <c r="C977" s="650"/>
      <c r="D977" s="652"/>
    </row>
    <row r="978" spans="1:4" ht="36.75" customHeight="1">
      <c r="A978" s="685"/>
      <c r="B978" s="650" t="s">
        <v>4701</v>
      </c>
      <c r="C978" s="650">
        <v>1836</v>
      </c>
      <c r="D978" s="652" t="s">
        <v>1432</v>
      </c>
    </row>
    <row r="979" spans="1:4" ht="36.75" customHeight="1">
      <c r="A979" s="685"/>
      <c r="B979" s="650" t="s">
        <v>4702</v>
      </c>
      <c r="C979" s="650">
        <v>1217</v>
      </c>
      <c r="D979" s="652" t="s">
        <v>1432</v>
      </c>
    </row>
    <row r="980" spans="1:4" ht="36.75" customHeight="1">
      <c r="A980" s="685"/>
      <c r="B980" s="650" t="s">
        <v>4703</v>
      </c>
      <c r="C980" s="650">
        <v>266.3</v>
      </c>
      <c r="D980" s="652" t="s">
        <v>1432</v>
      </c>
    </row>
    <row r="981" spans="1:4" ht="36.75" customHeight="1">
      <c r="A981" s="685"/>
      <c r="B981" s="650" t="s">
        <v>4704</v>
      </c>
      <c r="C981" s="650">
        <v>209</v>
      </c>
      <c r="D981" s="652" t="s">
        <v>1432</v>
      </c>
    </row>
    <row r="982" spans="1:4" ht="36.75" customHeight="1">
      <c r="A982" s="685"/>
      <c r="B982" s="650" t="s">
        <v>4705</v>
      </c>
      <c r="C982" s="650">
        <v>116.3</v>
      </c>
      <c r="D982" s="652" t="s">
        <v>1432</v>
      </c>
    </row>
    <row r="983" spans="1:4" ht="36.75" customHeight="1">
      <c r="A983" s="685"/>
      <c r="B983" s="650" t="s">
        <v>4706</v>
      </c>
      <c r="C983" s="650">
        <v>69.8</v>
      </c>
      <c r="D983" s="652" t="s">
        <v>1432</v>
      </c>
    </row>
    <row r="984" spans="1:4" ht="36.75" customHeight="1">
      <c r="A984" s="786"/>
      <c r="B984" s="787"/>
      <c r="C984" s="787"/>
      <c r="D984" s="788"/>
    </row>
    <row r="985" spans="1:4" s="792" customFormat="1" ht="36.75" customHeight="1">
      <c r="A985" s="685"/>
      <c r="B985" s="789" t="s">
        <v>4965</v>
      </c>
      <c r="C985" s="790">
        <v>7945</v>
      </c>
      <c r="D985" s="791" t="s">
        <v>2283</v>
      </c>
    </row>
    <row r="986" spans="1:4" ht="36.75" customHeight="1">
      <c r="A986" s="685"/>
      <c r="B986" s="793" t="s">
        <v>4744</v>
      </c>
      <c r="C986" s="794"/>
      <c r="D986" s="795"/>
    </row>
    <row r="987" spans="1:4" ht="36.75" customHeight="1">
      <c r="A987" s="685"/>
      <c r="B987" s="796" t="s">
        <v>5088</v>
      </c>
      <c r="C987" s="797">
        <v>1821428.58</v>
      </c>
      <c r="D987" s="798" t="s">
        <v>1432</v>
      </c>
    </row>
    <row r="988" spans="1:4" ht="36.75" customHeight="1">
      <c r="A988" s="685"/>
      <c r="B988" s="796" t="s">
        <v>4966</v>
      </c>
      <c r="C988" s="797">
        <v>1739000</v>
      </c>
      <c r="D988" s="798" t="s">
        <v>1432</v>
      </c>
    </row>
    <row r="989" spans="1:4" ht="36.75" customHeight="1">
      <c r="A989" s="685"/>
      <c r="B989" s="793" t="s">
        <v>4745</v>
      </c>
      <c r="C989" s="794"/>
      <c r="D989" s="795"/>
    </row>
    <row r="990" spans="1:4" ht="36.75" customHeight="1">
      <c r="A990" s="685"/>
      <c r="B990" s="718" t="s">
        <v>4920</v>
      </c>
      <c r="C990" s="799">
        <v>216000</v>
      </c>
      <c r="D990" s="798" t="s">
        <v>1432</v>
      </c>
    </row>
    <row r="991" spans="1:4" ht="36.75" customHeight="1">
      <c r="A991" s="685"/>
      <c r="B991" s="718" t="s">
        <v>4921</v>
      </c>
      <c r="C991" s="799">
        <v>27000</v>
      </c>
      <c r="D991" s="798" t="s">
        <v>1432</v>
      </c>
    </row>
    <row r="992" spans="1:4" ht="36.75" customHeight="1">
      <c r="A992" s="685"/>
      <c r="B992" s="800" t="s">
        <v>4922</v>
      </c>
      <c r="C992" s="799"/>
      <c r="D992" s="798"/>
    </row>
    <row r="993" spans="1:4" ht="36.75" customHeight="1">
      <c r="A993" s="685"/>
      <c r="B993" s="801" t="s">
        <v>4746</v>
      </c>
      <c r="C993" s="799">
        <v>232</v>
      </c>
      <c r="D993" s="798" t="s">
        <v>826</v>
      </c>
    </row>
    <row r="994" spans="1:4" ht="36.75" customHeight="1">
      <c r="A994" s="685"/>
      <c r="B994" s="801" t="s">
        <v>4747</v>
      </c>
      <c r="C994" s="799">
        <v>160</v>
      </c>
      <c r="D994" s="798" t="s">
        <v>826</v>
      </c>
    </row>
    <row r="995" spans="1:4" ht="36.75" customHeight="1">
      <c r="A995" s="685"/>
      <c r="B995" s="801" t="s">
        <v>4748</v>
      </c>
      <c r="C995" s="799">
        <v>220</v>
      </c>
      <c r="D995" s="798" t="s">
        <v>826</v>
      </c>
    </row>
    <row r="996" spans="1:4" ht="36.75" customHeight="1">
      <c r="A996" s="685"/>
      <c r="B996" s="802" t="s">
        <v>4923</v>
      </c>
      <c r="C996" s="803"/>
      <c r="D996" s="804"/>
    </row>
    <row r="997" spans="1:4" ht="36.75" customHeight="1">
      <c r="A997" s="685"/>
      <c r="B997" s="805" t="s">
        <v>4749</v>
      </c>
      <c r="C997" s="803">
        <v>4400</v>
      </c>
      <c r="D997" s="806" t="s">
        <v>1432</v>
      </c>
    </row>
    <row r="998" spans="1:4" ht="36.75" customHeight="1">
      <c r="A998" s="685"/>
      <c r="B998" s="802" t="s">
        <v>4924</v>
      </c>
      <c r="C998" s="803"/>
      <c r="D998" s="806"/>
    </row>
    <row r="999" spans="1:4" ht="36.75" customHeight="1">
      <c r="A999" s="685"/>
      <c r="B999" s="801" t="s">
        <v>4750</v>
      </c>
      <c r="C999" s="803">
        <v>16000</v>
      </c>
      <c r="D999" s="806" t="s">
        <v>1432</v>
      </c>
    </row>
    <row r="1000" spans="1:4" ht="36.75" customHeight="1">
      <c r="A1000" s="685"/>
      <c r="B1000" s="800" t="s">
        <v>4925</v>
      </c>
      <c r="C1000" s="803"/>
      <c r="D1000" s="806"/>
    </row>
    <row r="1001" spans="1:4" ht="36.75" customHeight="1">
      <c r="A1001" s="685"/>
      <c r="B1001" s="801" t="s">
        <v>4751</v>
      </c>
      <c r="C1001" s="799">
        <v>2400</v>
      </c>
      <c r="D1001" s="807" t="s">
        <v>1432</v>
      </c>
    </row>
    <row r="1002" spans="1:4" ht="36.75" customHeight="1">
      <c r="A1002" s="685"/>
      <c r="B1002" s="801" t="s">
        <v>4752</v>
      </c>
      <c r="C1002" s="799">
        <v>4200</v>
      </c>
      <c r="D1002" s="807" t="s">
        <v>1432</v>
      </c>
    </row>
    <row r="1003" spans="1:4" ht="36.75" customHeight="1">
      <c r="A1003" s="685"/>
      <c r="B1003" s="801" t="s">
        <v>4753</v>
      </c>
      <c r="C1003" s="799">
        <v>5500</v>
      </c>
      <c r="D1003" s="807" t="s">
        <v>282</v>
      </c>
    </row>
    <row r="1004" spans="1:4" ht="36.75" customHeight="1">
      <c r="A1004" s="685"/>
      <c r="B1004" s="801" t="s">
        <v>4754</v>
      </c>
      <c r="C1004" s="799">
        <v>3000</v>
      </c>
      <c r="D1004" s="807" t="s">
        <v>282</v>
      </c>
    </row>
    <row r="1005" spans="1:4" ht="36.75" customHeight="1">
      <c r="A1005" s="685"/>
      <c r="B1005" s="808" t="s">
        <v>4755</v>
      </c>
      <c r="C1005" s="803"/>
      <c r="D1005" s="806"/>
    </row>
    <row r="1006" spans="1:4" ht="36.75" customHeight="1">
      <c r="A1006" s="685"/>
      <c r="B1006" s="800" t="s">
        <v>4926</v>
      </c>
      <c r="C1006" s="803"/>
      <c r="D1006" s="806"/>
    </row>
    <row r="1007" spans="1:4" ht="36.75" customHeight="1">
      <c r="A1007" s="685"/>
      <c r="B1007" s="801" t="s">
        <v>4750</v>
      </c>
      <c r="C1007" s="803">
        <v>1850</v>
      </c>
      <c r="D1007" s="806" t="s">
        <v>826</v>
      </c>
    </row>
    <row r="1008" spans="1:4" ht="36.75" customHeight="1">
      <c r="A1008" s="685"/>
      <c r="B1008" s="801" t="s">
        <v>4756</v>
      </c>
      <c r="C1008" s="799">
        <v>900</v>
      </c>
      <c r="D1008" s="807" t="s">
        <v>826</v>
      </c>
    </row>
    <row r="1009" spans="1:4" ht="36.75" customHeight="1">
      <c r="A1009" s="685"/>
      <c r="B1009" s="801" t="s">
        <v>6266</v>
      </c>
      <c r="C1009" s="799">
        <v>13500</v>
      </c>
      <c r="D1009" s="725" t="s">
        <v>1432</v>
      </c>
    </row>
    <row r="1010" spans="1:4" ht="36.75" customHeight="1">
      <c r="A1010" s="685"/>
      <c r="B1010" s="801" t="s">
        <v>4757</v>
      </c>
      <c r="C1010" s="799">
        <v>7000</v>
      </c>
      <c r="D1010" s="725" t="s">
        <v>1432</v>
      </c>
    </row>
    <row r="1011" spans="1:4" ht="36.75" customHeight="1">
      <c r="A1011" s="685"/>
      <c r="B1011" s="801" t="s">
        <v>4758</v>
      </c>
      <c r="C1011" s="799">
        <v>18000</v>
      </c>
      <c r="D1011" s="725" t="s">
        <v>1432</v>
      </c>
    </row>
    <row r="1012" spans="1:4" ht="36.75" customHeight="1">
      <c r="A1012" s="685"/>
      <c r="B1012" s="801" t="s">
        <v>6267</v>
      </c>
      <c r="C1012" s="799">
        <v>5200</v>
      </c>
      <c r="D1012" s="725" t="s">
        <v>1432</v>
      </c>
    </row>
    <row r="1013" spans="1:4" ht="36.75" customHeight="1">
      <c r="A1013" s="685"/>
      <c r="B1013" s="801" t="s">
        <v>4759</v>
      </c>
      <c r="C1013" s="799">
        <v>13000</v>
      </c>
      <c r="D1013" s="725" t="s">
        <v>1432</v>
      </c>
    </row>
    <row r="1014" spans="1:4" ht="36.75" customHeight="1">
      <c r="A1014" s="685"/>
      <c r="B1014" s="809" t="s">
        <v>4760</v>
      </c>
      <c r="C1014" s="803">
        <v>4500</v>
      </c>
      <c r="D1014" s="806" t="s">
        <v>1432</v>
      </c>
    </row>
    <row r="1015" spans="1:4" ht="36.75" customHeight="1">
      <c r="A1015" s="685"/>
      <c r="B1015" s="809" t="s">
        <v>4761</v>
      </c>
      <c r="C1015" s="803">
        <v>180</v>
      </c>
      <c r="D1015" s="806" t="s">
        <v>913</v>
      </c>
    </row>
    <row r="1016" spans="1:4" ht="36.75" customHeight="1">
      <c r="A1016" s="685"/>
      <c r="B1016" s="808" t="s">
        <v>4762</v>
      </c>
      <c r="C1016" s="803"/>
      <c r="D1016" s="794"/>
    </row>
    <row r="1017" spans="1:4" ht="36.75" customHeight="1">
      <c r="A1017" s="685"/>
      <c r="B1017" s="801" t="s">
        <v>4763</v>
      </c>
      <c r="C1017" s="799">
        <v>7500</v>
      </c>
      <c r="D1017" s="797" t="s">
        <v>1432</v>
      </c>
    </row>
    <row r="1018" spans="1:4" ht="36.75" customHeight="1">
      <c r="A1018" s="685"/>
      <c r="B1018" s="801" t="s">
        <v>4764</v>
      </c>
      <c r="C1018" s="799">
        <v>4500</v>
      </c>
      <c r="D1018" s="797" t="s">
        <v>1432</v>
      </c>
    </row>
    <row r="1019" spans="1:4" ht="36.75" customHeight="1">
      <c r="A1019" s="685"/>
      <c r="B1019" s="810" t="s">
        <v>4765</v>
      </c>
      <c r="C1019" s="803"/>
      <c r="D1019" s="794"/>
    </row>
    <row r="1020" spans="1:4" ht="36.75" customHeight="1">
      <c r="A1020" s="685"/>
      <c r="B1020" s="811" t="s">
        <v>6268</v>
      </c>
      <c r="C1020" s="799">
        <v>34000</v>
      </c>
      <c r="D1020" s="797" t="s">
        <v>1394</v>
      </c>
    </row>
    <row r="1021" spans="1:4" ht="36.75" customHeight="1">
      <c r="A1021" s="685"/>
      <c r="B1021" s="812" t="s">
        <v>4766</v>
      </c>
      <c r="C1021" s="799">
        <v>2600</v>
      </c>
      <c r="D1021" s="797" t="s">
        <v>1394</v>
      </c>
    </row>
    <row r="1022" spans="1:4" ht="36.75" customHeight="1">
      <c r="A1022" s="685"/>
      <c r="B1022" s="813" t="s">
        <v>4767</v>
      </c>
      <c r="C1022" s="799">
        <v>2200</v>
      </c>
      <c r="D1022" s="797" t="s">
        <v>1394</v>
      </c>
    </row>
    <row r="1023" spans="1:4" ht="36.75" customHeight="1">
      <c r="A1023" s="685"/>
      <c r="B1023" s="811" t="s">
        <v>4768</v>
      </c>
      <c r="C1023" s="799">
        <v>2100</v>
      </c>
      <c r="D1023" s="797" t="s">
        <v>1394</v>
      </c>
    </row>
    <row r="1024" spans="1:4" ht="36.75" customHeight="1">
      <c r="A1024" s="685"/>
      <c r="B1024" s="813" t="s">
        <v>4769</v>
      </c>
      <c r="C1024" s="799">
        <v>160</v>
      </c>
      <c r="D1024" s="797" t="s">
        <v>826</v>
      </c>
    </row>
    <row r="1025" spans="1:4" ht="36.75" customHeight="1">
      <c r="A1025" s="685"/>
      <c r="B1025" s="808" t="s">
        <v>5041</v>
      </c>
      <c r="C1025" s="803">
        <v>263207</v>
      </c>
      <c r="D1025" s="794" t="s">
        <v>282</v>
      </c>
    </row>
    <row r="1026" spans="1:4" ht="36.75" customHeight="1">
      <c r="A1026" s="685"/>
      <c r="B1026" s="810" t="s">
        <v>4770</v>
      </c>
      <c r="C1026" s="803"/>
      <c r="D1026" s="794"/>
    </row>
    <row r="1027" spans="1:4" ht="36.75" customHeight="1">
      <c r="A1027" s="685"/>
      <c r="B1027" s="814" t="s">
        <v>4771</v>
      </c>
      <c r="C1027" s="799">
        <v>28000</v>
      </c>
      <c r="D1027" s="797" t="s">
        <v>1394</v>
      </c>
    </row>
    <row r="1028" spans="1:4" ht="36.75" customHeight="1">
      <c r="A1028" s="685"/>
      <c r="B1028" s="814" t="s">
        <v>4772</v>
      </c>
      <c r="C1028" s="799">
        <v>2200</v>
      </c>
      <c r="D1028" s="797" t="s">
        <v>1394</v>
      </c>
    </row>
    <row r="1029" spans="1:4" ht="36.75" customHeight="1">
      <c r="A1029" s="685"/>
      <c r="B1029" s="814" t="s">
        <v>4769</v>
      </c>
      <c r="C1029" s="799">
        <v>160</v>
      </c>
      <c r="D1029" s="797" t="s">
        <v>4773</v>
      </c>
    </row>
    <row r="1030" spans="1:4" ht="36.75" customHeight="1">
      <c r="A1030" s="685"/>
      <c r="B1030" s="814" t="s">
        <v>4774</v>
      </c>
      <c r="C1030" s="799">
        <v>14000</v>
      </c>
      <c r="D1030" s="797" t="s">
        <v>1394</v>
      </c>
    </row>
    <row r="1031" spans="1:4" ht="36.75" customHeight="1">
      <c r="A1031" s="685"/>
      <c r="B1031" s="814" t="s">
        <v>4775</v>
      </c>
      <c r="C1031" s="799">
        <v>16000</v>
      </c>
      <c r="D1031" s="797" t="s">
        <v>1394</v>
      </c>
    </row>
    <row r="1032" spans="1:4" ht="36.75" customHeight="1">
      <c r="A1032" s="685"/>
      <c r="B1032" s="815" t="s">
        <v>4776</v>
      </c>
      <c r="C1032" s="803"/>
      <c r="D1032" s="794"/>
    </row>
    <row r="1033" spans="1:4" ht="36.75" customHeight="1">
      <c r="A1033" s="685"/>
      <c r="B1033" s="810" t="s">
        <v>4777</v>
      </c>
      <c r="C1033" s="803"/>
      <c r="D1033" s="794"/>
    </row>
    <row r="1034" spans="1:4" ht="36.75" customHeight="1">
      <c r="A1034" s="685"/>
      <c r="B1034" s="816" t="s">
        <v>4778</v>
      </c>
      <c r="C1034" s="803">
        <v>640</v>
      </c>
      <c r="D1034" s="804" t="s">
        <v>1394</v>
      </c>
    </row>
    <row r="1035" spans="1:4" ht="36.75" customHeight="1">
      <c r="A1035" s="685"/>
      <c r="B1035" s="817" t="s">
        <v>4779</v>
      </c>
      <c r="C1035" s="803">
        <v>10500</v>
      </c>
      <c r="D1035" s="795" t="s">
        <v>1432</v>
      </c>
    </row>
    <row r="1036" spans="1:4" ht="36.75" customHeight="1">
      <c r="A1036" s="685"/>
      <c r="B1036" s="817" t="s">
        <v>4780</v>
      </c>
      <c r="C1036" s="806">
        <v>4500</v>
      </c>
      <c r="D1036" s="803" t="s">
        <v>258</v>
      </c>
    </row>
    <row r="1037" spans="1:4" ht="36.75" customHeight="1">
      <c r="A1037" s="685"/>
      <c r="B1037" s="817" t="s">
        <v>4781</v>
      </c>
      <c r="C1037" s="803">
        <v>6500</v>
      </c>
      <c r="D1037" s="795" t="s">
        <v>1432</v>
      </c>
    </row>
    <row r="1038" spans="1:4" ht="36.75" customHeight="1">
      <c r="A1038" s="818"/>
      <c r="B1038" s="819" t="s">
        <v>4782</v>
      </c>
      <c r="C1038" s="820">
        <v>27000</v>
      </c>
      <c r="D1038" s="821" t="s">
        <v>1432</v>
      </c>
    </row>
    <row r="1039" spans="1:4" s="822" customFormat="1" ht="36.75" customHeight="1">
      <c r="A1039" s="685"/>
      <c r="B1039" s="817" t="s">
        <v>4783</v>
      </c>
      <c r="C1039" s="803">
        <v>22000</v>
      </c>
      <c r="D1039" s="795" t="s">
        <v>1432</v>
      </c>
    </row>
    <row r="1040" spans="1:4" ht="36.75" customHeight="1">
      <c r="A1040" s="685"/>
      <c r="B1040" s="817" t="s">
        <v>4784</v>
      </c>
      <c r="C1040" s="803">
        <v>4300</v>
      </c>
      <c r="D1040" s="795" t="s">
        <v>1432</v>
      </c>
    </row>
    <row r="1041" spans="1:4" ht="36.75" customHeight="1">
      <c r="A1041" s="685"/>
      <c r="B1041" s="817" t="s">
        <v>4785</v>
      </c>
      <c r="C1041" s="803">
        <v>5500</v>
      </c>
      <c r="D1041" s="795" t="s">
        <v>1432</v>
      </c>
    </row>
    <row r="1042" spans="1:4" ht="36.75" customHeight="1">
      <c r="A1042" s="685"/>
      <c r="B1042" s="718" t="s">
        <v>5104</v>
      </c>
      <c r="C1042" s="794">
        <v>10000</v>
      </c>
      <c r="D1042" s="795" t="s">
        <v>145</v>
      </c>
    </row>
    <row r="1043" spans="1:4" ht="36.75" customHeight="1">
      <c r="A1043" s="685"/>
      <c r="B1043" s="811" t="s">
        <v>5092</v>
      </c>
      <c r="C1043" s="803">
        <v>1280</v>
      </c>
      <c r="D1043" s="795" t="s">
        <v>233</v>
      </c>
    </row>
    <row r="1044" spans="1:4" ht="36.75" customHeight="1">
      <c r="A1044" s="685"/>
      <c r="B1044" s="811" t="s">
        <v>5093</v>
      </c>
      <c r="C1044" s="803">
        <v>1614.6</v>
      </c>
      <c r="D1044" s="795" t="s">
        <v>233</v>
      </c>
    </row>
    <row r="1045" spans="1:4" ht="36.75" customHeight="1">
      <c r="A1045" s="685"/>
      <c r="B1045" s="817" t="s">
        <v>4927</v>
      </c>
      <c r="C1045" s="803">
        <v>10050</v>
      </c>
      <c r="D1045" s="795" t="s">
        <v>1432</v>
      </c>
    </row>
    <row r="1046" spans="1:4" ht="36.75" customHeight="1">
      <c r="A1046" s="685"/>
      <c r="B1046" s="823" t="s">
        <v>4786</v>
      </c>
      <c r="C1046" s="803">
        <v>228000</v>
      </c>
      <c r="D1046" s="795" t="s">
        <v>1432</v>
      </c>
    </row>
    <row r="1047" spans="1:4" ht="36.75" customHeight="1">
      <c r="A1047" s="685"/>
      <c r="B1047" s="823" t="s">
        <v>4787</v>
      </c>
      <c r="C1047" s="803">
        <v>10450</v>
      </c>
      <c r="D1047" s="795" t="s">
        <v>1432</v>
      </c>
    </row>
    <row r="1048" spans="1:4" ht="36.75" customHeight="1">
      <c r="A1048" s="685"/>
      <c r="B1048" s="823" t="s">
        <v>4788</v>
      </c>
      <c r="C1048" s="803">
        <v>35000</v>
      </c>
      <c r="D1048" s="795" t="s">
        <v>1432</v>
      </c>
    </row>
    <row r="1049" spans="1:4" ht="36.75" customHeight="1">
      <c r="A1049" s="685"/>
      <c r="B1049" s="823" t="s">
        <v>4789</v>
      </c>
      <c r="C1049" s="803">
        <v>97000</v>
      </c>
      <c r="D1049" s="795" t="s">
        <v>1432</v>
      </c>
    </row>
    <row r="1050" spans="1:4" ht="36.75" customHeight="1">
      <c r="A1050" s="685"/>
      <c r="B1050" s="823" t="s">
        <v>4790</v>
      </c>
      <c r="C1050" s="803">
        <v>284</v>
      </c>
      <c r="D1050" s="795" t="s">
        <v>826</v>
      </c>
    </row>
    <row r="1051" spans="1:4" ht="36.75" customHeight="1">
      <c r="A1051" s="685"/>
      <c r="B1051" s="823" t="s">
        <v>4791</v>
      </c>
      <c r="C1051" s="803">
        <v>560</v>
      </c>
      <c r="D1051" s="795" t="s">
        <v>826</v>
      </c>
    </row>
    <row r="1052" spans="1:4" ht="36.75" customHeight="1">
      <c r="A1052" s="685"/>
      <c r="B1052" s="655" t="s">
        <v>4792</v>
      </c>
      <c r="C1052" s="803">
        <v>44000</v>
      </c>
      <c r="D1052" s="795" t="s">
        <v>1432</v>
      </c>
    </row>
    <row r="1053" spans="1:4" ht="36.75" customHeight="1">
      <c r="A1053" s="685"/>
      <c r="B1053" s="655" t="s">
        <v>4793</v>
      </c>
      <c r="C1053" s="803">
        <v>285000</v>
      </c>
      <c r="D1053" s="795" t="s">
        <v>4794</v>
      </c>
    </row>
    <row r="1054" spans="1:4" ht="36.75" customHeight="1">
      <c r="A1054" s="685"/>
      <c r="B1054" s="817" t="s">
        <v>4795</v>
      </c>
      <c r="C1054" s="803">
        <f>Elec.Data!J1921</f>
        <v>0</v>
      </c>
      <c r="D1054" s="804" t="s">
        <v>826</v>
      </c>
    </row>
    <row r="1055" spans="1:4" ht="36.75" customHeight="1">
      <c r="A1055" s="685"/>
      <c r="B1055" s="817" t="s">
        <v>4796</v>
      </c>
      <c r="C1055" s="803">
        <v>600</v>
      </c>
      <c r="D1055" s="804" t="s">
        <v>1432</v>
      </c>
    </row>
    <row r="1056" spans="1:4" ht="36.75" customHeight="1">
      <c r="A1056" s="685"/>
      <c r="B1056" s="811" t="s">
        <v>4955</v>
      </c>
      <c r="C1056" s="803"/>
      <c r="D1056" s="804"/>
    </row>
    <row r="1057" spans="1:4" ht="36.75" customHeight="1">
      <c r="A1057" s="685"/>
      <c r="B1057" s="811" t="s">
        <v>4797</v>
      </c>
      <c r="C1057" s="803">
        <v>640</v>
      </c>
      <c r="D1057" s="804" t="s">
        <v>2283</v>
      </c>
    </row>
    <row r="1058" spans="1:4" ht="36.75" customHeight="1">
      <c r="A1058" s="685"/>
      <c r="B1058" s="811" t="s">
        <v>4798</v>
      </c>
      <c r="C1058" s="803">
        <v>650</v>
      </c>
      <c r="D1058" s="804" t="s">
        <v>2283</v>
      </c>
    </row>
    <row r="1059" spans="1:4" ht="36.75" customHeight="1">
      <c r="A1059" s="685"/>
      <c r="B1059" s="817" t="s">
        <v>4799</v>
      </c>
      <c r="C1059" s="803"/>
      <c r="D1059" s="804"/>
    </row>
    <row r="1060" spans="1:4" ht="36.75" customHeight="1">
      <c r="A1060" s="685"/>
      <c r="B1060" s="817" t="s">
        <v>4800</v>
      </c>
      <c r="C1060" s="803">
        <f>[6]Elec.Data!Q3696</f>
        <v>0</v>
      </c>
      <c r="D1060" s="804" t="s">
        <v>826</v>
      </c>
    </row>
    <row r="1061" spans="1:4" ht="36.75" customHeight="1">
      <c r="A1061" s="685"/>
      <c r="B1061" s="824" t="s">
        <v>4801</v>
      </c>
      <c r="C1061" s="803"/>
      <c r="D1061" s="804"/>
    </row>
    <row r="1062" spans="1:4" ht="36.75" customHeight="1">
      <c r="A1062" s="685"/>
      <c r="B1062" s="718" t="s">
        <v>4999</v>
      </c>
      <c r="C1062" s="803"/>
      <c r="D1062" s="795"/>
    </row>
    <row r="1063" spans="1:4" ht="36.75" customHeight="1">
      <c r="A1063" s="685"/>
      <c r="B1063" s="662" t="s">
        <v>6269</v>
      </c>
      <c r="C1063" s="799">
        <v>551.04</v>
      </c>
      <c r="D1063" s="797" t="s">
        <v>3440</v>
      </c>
    </row>
    <row r="1064" spans="1:4" ht="36.75" customHeight="1">
      <c r="A1064" s="685"/>
      <c r="B1064" s="662" t="s">
        <v>6270</v>
      </c>
      <c r="C1064" s="803"/>
      <c r="D1064" s="795"/>
    </row>
    <row r="1065" spans="1:4" ht="36.75" customHeight="1">
      <c r="A1065" s="685"/>
      <c r="B1065" s="801" t="s">
        <v>4802</v>
      </c>
      <c r="C1065" s="803">
        <v>295</v>
      </c>
      <c r="D1065" s="804" t="s">
        <v>3440</v>
      </c>
    </row>
    <row r="1066" spans="1:4" ht="36.75" customHeight="1">
      <c r="A1066" s="685"/>
      <c r="B1066" s="801"/>
      <c r="C1066" s="803"/>
      <c r="D1066" s="804"/>
    </row>
    <row r="1067" spans="1:4" ht="36.75" customHeight="1">
      <c r="A1067" s="685"/>
      <c r="B1067" s="801" t="s">
        <v>4803</v>
      </c>
      <c r="C1067" s="799">
        <v>374.5</v>
      </c>
      <c r="D1067" s="797" t="s">
        <v>3440</v>
      </c>
    </row>
    <row r="1068" spans="1:4" ht="36.75" customHeight="1">
      <c r="A1068" s="685"/>
      <c r="B1068" s="801" t="s">
        <v>6271</v>
      </c>
      <c r="C1068" s="799">
        <v>825</v>
      </c>
      <c r="D1068" s="797" t="s">
        <v>3440</v>
      </c>
    </row>
    <row r="1069" spans="1:4" ht="36.75" customHeight="1">
      <c r="A1069" s="685"/>
      <c r="B1069" s="801" t="s">
        <v>6272</v>
      </c>
      <c r="C1069" s="799">
        <v>442</v>
      </c>
      <c r="D1069" s="797" t="s">
        <v>3440</v>
      </c>
    </row>
    <row r="1070" spans="1:4" ht="36.75" customHeight="1">
      <c r="A1070" s="685"/>
      <c r="B1070" s="801" t="s">
        <v>5000</v>
      </c>
      <c r="C1070" s="799">
        <v>722</v>
      </c>
      <c r="D1070" s="798" t="s">
        <v>3440</v>
      </c>
    </row>
    <row r="1071" spans="1:4" ht="36.75" customHeight="1">
      <c r="A1071" s="685"/>
      <c r="B1071" s="800" t="s">
        <v>5089</v>
      </c>
      <c r="C1071" s="803"/>
      <c r="D1071" s="795"/>
    </row>
    <row r="1072" spans="1:4" ht="36.75" customHeight="1">
      <c r="A1072" s="685"/>
      <c r="B1072" s="801" t="s">
        <v>4804</v>
      </c>
      <c r="C1072" s="803">
        <v>325.89999999999998</v>
      </c>
      <c r="D1072" s="795" t="s">
        <v>3440</v>
      </c>
    </row>
    <row r="1073" spans="1:4" ht="36.75" customHeight="1">
      <c r="A1073" s="685"/>
      <c r="B1073" s="801" t="s">
        <v>4805</v>
      </c>
      <c r="C1073" s="803">
        <v>336.25</v>
      </c>
      <c r="D1073" s="795" t="s">
        <v>3440</v>
      </c>
    </row>
    <row r="1074" spans="1:4" ht="36.75" customHeight="1">
      <c r="A1074" s="685"/>
      <c r="B1074" s="801" t="s">
        <v>4806</v>
      </c>
      <c r="C1074" s="803">
        <v>97</v>
      </c>
      <c r="D1074" s="795" t="s">
        <v>1432</v>
      </c>
    </row>
    <row r="1075" spans="1:4" ht="36.75" customHeight="1">
      <c r="A1075" s="685"/>
      <c r="B1075" s="801" t="s">
        <v>4807</v>
      </c>
      <c r="C1075" s="803">
        <v>1709.45</v>
      </c>
      <c r="D1075" s="795" t="s">
        <v>4674</v>
      </c>
    </row>
    <row r="1076" spans="1:4" ht="36.75" customHeight="1">
      <c r="A1076" s="685"/>
      <c r="B1076" s="800" t="s">
        <v>5026</v>
      </c>
      <c r="C1076" s="803"/>
      <c r="D1076" s="795"/>
    </row>
    <row r="1077" spans="1:4" ht="36.75" customHeight="1">
      <c r="A1077" s="685"/>
      <c r="B1077" s="801" t="s">
        <v>5027</v>
      </c>
      <c r="C1077" s="803">
        <v>274.68</v>
      </c>
      <c r="D1077" s="795" t="s">
        <v>5040</v>
      </c>
    </row>
    <row r="1078" spans="1:4" ht="36.75" customHeight="1">
      <c r="A1078" s="685"/>
      <c r="B1078" s="801" t="s">
        <v>5028</v>
      </c>
      <c r="C1078" s="803">
        <v>215</v>
      </c>
      <c r="D1078" s="795" t="s">
        <v>5040</v>
      </c>
    </row>
    <row r="1079" spans="1:4" ht="36.75" customHeight="1">
      <c r="A1079" s="685"/>
      <c r="B1079" s="801" t="s">
        <v>5029</v>
      </c>
      <c r="C1079" s="803">
        <v>199.01</v>
      </c>
      <c r="D1079" s="795" t="s">
        <v>5040</v>
      </c>
    </row>
    <row r="1080" spans="1:4" ht="36.75" customHeight="1">
      <c r="A1080" s="685"/>
      <c r="B1080" s="800" t="s">
        <v>5030</v>
      </c>
      <c r="C1080" s="803"/>
      <c r="D1080" s="795"/>
    </row>
    <row r="1081" spans="1:4" ht="36.75" customHeight="1">
      <c r="A1081" s="685"/>
      <c r="B1081" s="801" t="s">
        <v>5090</v>
      </c>
      <c r="C1081" s="803">
        <v>298.88</v>
      </c>
      <c r="D1081" s="795" t="s">
        <v>5040</v>
      </c>
    </row>
    <row r="1082" spans="1:4" ht="36.75" customHeight="1">
      <c r="A1082" s="685"/>
      <c r="B1082" s="800" t="s">
        <v>5031</v>
      </c>
      <c r="C1082" s="803"/>
      <c r="D1082" s="795"/>
    </row>
    <row r="1083" spans="1:4" ht="36.75" customHeight="1">
      <c r="A1083" s="685"/>
      <c r="B1083" s="801" t="s">
        <v>5032</v>
      </c>
      <c r="C1083" s="803">
        <v>206.85</v>
      </c>
      <c r="D1083" s="795" t="s">
        <v>1432</v>
      </c>
    </row>
    <row r="1084" spans="1:4" ht="36.75" customHeight="1">
      <c r="A1084" s="685"/>
      <c r="B1084" s="801" t="s">
        <v>5033</v>
      </c>
      <c r="C1084" s="803">
        <v>60.6</v>
      </c>
      <c r="D1084" s="795" t="s">
        <v>5040</v>
      </c>
    </row>
    <row r="1085" spans="1:4" ht="36.75" customHeight="1">
      <c r="A1085" s="685"/>
      <c r="B1085" s="801" t="s">
        <v>5034</v>
      </c>
      <c r="C1085" s="803">
        <v>34800</v>
      </c>
      <c r="D1085" s="795" t="s">
        <v>1714</v>
      </c>
    </row>
    <row r="1086" spans="1:4" ht="36.75" customHeight="1">
      <c r="A1086" s="685"/>
      <c r="B1086" s="801" t="s">
        <v>5091</v>
      </c>
      <c r="C1086" s="803">
        <v>30478</v>
      </c>
      <c r="D1086" s="795" t="s">
        <v>1714</v>
      </c>
    </row>
    <row r="1087" spans="1:4" ht="36.75" customHeight="1">
      <c r="A1087" s="685"/>
      <c r="B1087" s="801" t="s">
        <v>5035</v>
      </c>
      <c r="C1087" s="803">
        <v>9758.34</v>
      </c>
      <c r="D1087" s="795" t="s">
        <v>1714</v>
      </c>
    </row>
    <row r="1088" spans="1:4" ht="36.75" customHeight="1">
      <c r="A1088" s="685"/>
      <c r="B1088" s="801" t="s">
        <v>5036</v>
      </c>
      <c r="C1088" s="803">
        <v>166</v>
      </c>
      <c r="D1088" s="795" t="s">
        <v>5040</v>
      </c>
    </row>
    <row r="1089" spans="1:4" ht="36.75" customHeight="1">
      <c r="A1089" s="685"/>
      <c r="B1089" s="801" t="s">
        <v>5037</v>
      </c>
      <c r="C1089" s="803"/>
      <c r="D1089" s="795"/>
    </row>
    <row r="1090" spans="1:4" ht="36.75" customHeight="1">
      <c r="A1090" s="685"/>
      <c r="B1090" s="801" t="s">
        <v>5038</v>
      </c>
      <c r="C1090" s="803">
        <v>2001.17</v>
      </c>
      <c r="D1090" s="795" t="s">
        <v>1432</v>
      </c>
    </row>
    <row r="1091" spans="1:4" ht="36.75" customHeight="1">
      <c r="A1091" s="685"/>
      <c r="B1091" s="801" t="s">
        <v>5039</v>
      </c>
      <c r="C1091" s="803">
        <v>1982.37</v>
      </c>
      <c r="D1091" s="795" t="s">
        <v>1432</v>
      </c>
    </row>
    <row r="1092" spans="1:4" ht="36.75" customHeight="1">
      <c r="A1092" s="685"/>
      <c r="B1092" s="801" t="s">
        <v>5105</v>
      </c>
      <c r="C1092" s="803">
        <v>4947</v>
      </c>
      <c r="D1092" s="795" t="s">
        <v>1714</v>
      </c>
    </row>
    <row r="1093" spans="1:4" ht="36.75" customHeight="1">
      <c r="A1093" s="685"/>
      <c r="B1093" s="800" t="s">
        <v>4935</v>
      </c>
      <c r="C1093" s="803"/>
      <c r="D1093" s="795"/>
    </row>
    <row r="1094" spans="1:4" ht="36.75" customHeight="1">
      <c r="A1094" s="685"/>
      <c r="B1094" s="825" t="s">
        <v>4934</v>
      </c>
      <c r="C1094" s="826">
        <v>29800</v>
      </c>
      <c r="D1094" s="798" t="s">
        <v>1394</v>
      </c>
    </row>
    <row r="1095" spans="1:4" ht="36.75" customHeight="1">
      <c r="A1095" s="685"/>
      <c r="B1095" s="825" t="s">
        <v>6273</v>
      </c>
      <c r="C1095" s="826">
        <v>9758.34</v>
      </c>
      <c r="D1095" s="798" t="s">
        <v>1394</v>
      </c>
    </row>
    <row r="1096" spans="1:4" ht="36.75" customHeight="1">
      <c r="A1096" s="685"/>
      <c r="B1096" s="825" t="s">
        <v>5106</v>
      </c>
      <c r="C1096" s="799">
        <v>13283</v>
      </c>
      <c r="D1096" s="798" t="s">
        <v>1394</v>
      </c>
    </row>
    <row r="1097" spans="1:4" ht="36.75" customHeight="1">
      <c r="A1097" s="685"/>
      <c r="B1097" s="827" t="s">
        <v>5107</v>
      </c>
      <c r="C1097" s="799"/>
      <c r="D1097" s="798"/>
    </row>
    <row r="1098" spans="1:4" ht="36.75" customHeight="1">
      <c r="A1098" s="685"/>
      <c r="B1098" s="828" t="s">
        <v>5025</v>
      </c>
      <c r="C1098" s="799">
        <v>104.5</v>
      </c>
      <c r="D1098" s="798" t="s">
        <v>826</v>
      </c>
    </row>
    <row r="1099" spans="1:4" ht="36.75" customHeight="1">
      <c r="A1099" s="685"/>
      <c r="B1099" s="828" t="s">
        <v>4808</v>
      </c>
      <c r="C1099" s="799">
        <v>60.6</v>
      </c>
      <c r="D1099" s="798" t="s">
        <v>826</v>
      </c>
    </row>
    <row r="1100" spans="1:4" ht="36.75" customHeight="1">
      <c r="A1100" s="685"/>
      <c r="B1100" s="827" t="s">
        <v>5108</v>
      </c>
      <c r="C1100" s="799"/>
      <c r="D1100" s="798"/>
    </row>
    <row r="1101" spans="1:4" ht="36.75" customHeight="1">
      <c r="A1101" s="685"/>
      <c r="B1101" s="828" t="s">
        <v>4809</v>
      </c>
      <c r="C1101" s="826">
        <v>270</v>
      </c>
      <c r="D1101" s="798" t="s">
        <v>1432</v>
      </c>
    </row>
    <row r="1102" spans="1:4" ht="36.75" customHeight="1">
      <c r="A1102" s="685"/>
      <c r="B1102" s="828" t="s">
        <v>4810</v>
      </c>
      <c r="C1102" s="826">
        <v>230</v>
      </c>
      <c r="D1102" s="798" t="s">
        <v>1432</v>
      </c>
    </row>
    <row r="1103" spans="1:4" ht="36.75" customHeight="1">
      <c r="A1103" s="685"/>
      <c r="B1103" s="827" t="s">
        <v>4936</v>
      </c>
      <c r="C1103" s="799"/>
      <c r="D1103" s="798"/>
    </row>
    <row r="1104" spans="1:4" ht="36.75" customHeight="1">
      <c r="A1104" s="685"/>
      <c r="B1104" s="828" t="s">
        <v>4811</v>
      </c>
      <c r="C1104" s="826">
        <v>959</v>
      </c>
      <c r="D1104" s="798" t="s">
        <v>1432</v>
      </c>
    </row>
    <row r="1105" spans="1:4" ht="36.75" customHeight="1">
      <c r="A1105" s="685"/>
      <c r="B1105" s="828" t="s">
        <v>4812</v>
      </c>
      <c r="C1105" s="826">
        <v>582</v>
      </c>
      <c r="D1105" s="798" t="s">
        <v>1432</v>
      </c>
    </row>
    <row r="1106" spans="1:4" ht="36.75" customHeight="1">
      <c r="A1106" s="685"/>
      <c r="B1106" s="828" t="s">
        <v>5109</v>
      </c>
      <c r="C1106" s="826">
        <v>41</v>
      </c>
      <c r="D1106" s="798" t="s">
        <v>1432</v>
      </c>
    </row>
    <row r="1107" spans="1:4" ht="36.75" customHeight="1">
      <c r="A1107" s="685"/>
      <c r="B1107" s="829" t="s">
        <v>4937</v>
      </c>
      <c r="C1107" s="803"/>
      <c r="D1107" s="795"/>
    </row>
    <row r="1108" spans="1:4" ht="36.75" customHeight="1">
      <c r="A1108" s="685"/>
      <c r="B1108" s="825" t="s">
        <v>4813</v>
      </c>
      <c r="C1108" s="830">
        <v>2675</v>
      </c>
      <c r="D1108" s="795" t="s">
        <v>1432</v>
      </c>
    </row>
    <row r="1109" spans="1:4" ht="36.75" customHeight="1">
      <c r="A1109" s="685"/>
      <c r="B1109" s="825"/>
      <c r="C1109" s="830"/>
      <c r="D1109" s="795"/>
    </row>
    <row r="1110" spans="1:4" ht="36.75" customHeight="1">
      <c r="A1110" s="685"/>
      <c r="B1110" s="828" t="s">
        <v>4814</v>
      </c>
      <c r="C1110" s="826">
        <v>990</v>
      </c>
      <c r="D1110" s="798" t="s">
        <v>1432</v>
      </c>
    </row>
    <row r="1111" spans="1:4" ht="36.75" customHeight="1">
      <c r="A1111" s="685"/>
      <c r="B1111" s="828" t="s">
        <v>4938</v>
      </c>
      <c r="C1111" s="826">
        <v>360</v>
      </c>
      <c r="D1111" s="798" t="s">
        <v>1432</v>
      </c>
    </row>
    <row r="1112" spans="1:4" ht="36.75" customHeight="1">
      <c r="A1112" s="685"/>
      <c r="B1112" s="828" t="s">
        <v>4940</v>
      </c>
      <c r="C1112" s="826">
        <v>197</v>
      </c>
      <c r="D1112" s="798" t="s">
        <v>1432</v>
      </c>
    </row>
    <row r="1113" spans="1:4" ht="36.75" customHeight="1">
      <c r="A1113" s="685"/>
      <c r="B1113" s="828" t="s">
        <v>4939</v>
      </c>
      <c r="C1113" s="826">
        <v>29590</v>
      </c>
      <c r="D1113" s="798" t="s">
        <v>1432</v>
      </c>
    </row>
    <row r="1114" spans="1:4" ht="36.75" customHeight="1">
      <c r="A1114" s="685"/>
      <c r="B1114" s="823" t="s">
        <v>4815</v>
      </c>
      <c r="C1114" s="831">
        <v>8559.9500000000007</v>
      </c>
      <c r="D1114" s="795" t="s">
        <v>1432</v>
      </c>
    </row>
    <row r="1115" spans="1:4" ht="36.75" customHeight="1">
      <c r="A1115" s="685"/>
      <c r="B1115" s="828" t="s">
        <v>4941</v>
      </c>
      <c r="C1115" s="826">
        <v>13283</v>
      </c>
      <c r="D1115" s="798" t="s">
        <v>1432</v>
      </c>
    </row>
    <row r="1116" spans="1:4" ht="36.75" customHeight="1">
      <c r="A1116" s="685"/>
      <c r="B1116" s="825" t="s">
        <v>4942</v>
      </c>
      <c r="C1116" s="826">
        <v>166</v>
      </c>
      <c r="D1116" s="798" t="s">
        <v>826</v>
      </c>
    </row>
    <row r="1117" spans="1:4" ht="36.75" customHeight="1">
      <c r="A1117" s="685"/>
      <c r="B1117" s="832" t="s">
        <v>4816</v>
      </c>
      <c r="C1117" s="803"/>
      <c r="D1117" s="795"/>
    </row>
    <row r="1118" spans="1:4" ht="36.75" customHeight="1">
      <c r="A1118" s="685"/>
      <c r="B1118" s="828" t="s">
        <v>4817</v>
      </c>
      <c r="C1118" s="826">
        <v>155.41999999999999</v>
      </c>
      <c r="D1118" s="798" t="s">
        <v>826</v>
      </c>
    </row>
    <row r="1119" spans="1:4" ht="36.75" customHeight="1">
      <c r="A1119" s="685"/>
      <c r="B1119" s="828" t="s">
        <v>4818</v>
      </c>
      <c r="C1119" s="826">
        <v>239.92</v>
      </c>
      <c r="D1119" s="798" t="s">
        <v>826</v>
      </c>
    </row>
    <row r="1120" spans="1:4" ht="36.75" customHeight="1">
      <c r="A1120" s="685"/>
      <c r="B1120" s="828" t="s">
        <v>4819</v>
      </c>
      <c r="C1120" s="833">
        <v>2189.4</v>
      </c>
      <c r="D1120" s="798" t="s">
        <v>1432</v>
      </c>
    </row>
    <row r="1121" spans="1:4" ht="36.75" customHeight="1">
      <c r="A1121" s="685"/>
      <c r="B1121" s="828" t="s">
        <v>4820</v>
      </c>
      <c r="C1121" s="833">
        <v>1319.4</v>
      </c>
      <c r="D1121" s="798" t="s">
        <v>1432</v>
      </c>
    </row>
    <row r="1122" spans="1:4" ht="36.75" customHeight="1">
      <c r="A1122" s="685"/>
      <c r="B1122" s="828" t="s">
        <v>4821</v>
      </c>
      <c r="C1122" s="833">
        <v>769</v>
      </c>
      <c r="D1122" s="798" t="s">
        <v>1432</v>
      </c>
    </row>
    <row r="1123" spans="1:4" ht="36.75" customHeight="1">
      <c r="A1123" s="685"/>
      <c r="B1123" s="828" t="s">
        <v>4822</v>
      </c>
      <c r="C1123" s="799">
        <v>161.9</v>
      </c>
      <c r="D1123" s="798" t="s">
        <v>1432</v>
      </c>
    </row>
    <row r="1124" spans="1:4" ht="36.75" customHeight="1">
      <c r="A1124" s="685"/>
      <c r="B1124" s="828" t="s">
        <v>4969</v>
      </c>
      <c r="C1124" s="799"/>
      <c r="D1124" s="798"/>
    </row>
    <row r="1125" spans="1:4" ht="36.75" customHeight="1">
      <c r="A1125" s="685"/>
      <c r="B1125" s="834" t="s">
        <v>4970</v>
      </c>
      <c r="C1125" s="799"/>
      <c r="D1125" s="798"/>
    </row>
    <row r="1126" spans="1:4" ht="36.75" customHeight="1">
      <c r="A1126" s="685"/>
      <c r="B1126" s="828" t="s">
        <v>4971</v>
      </c>
      <c r="C1126" s="799">
        <v>312.45</v>
      </c>
      <c r="D1126" s="798" t="s">
        <v>826</v>
      </c>
    </row>
    <row r="1127" spans="1:4" ht="36.75" customHeight="1">
      <c r="A1127" s="685"/>
      <c r="B1127" s="828" t="s">
        <v>4972</v>
      </c>
      <c r="C1127" s="799">
        <v>343.1</v>
      </c>
      <c r="D1127" s="798" t="s">
        <v>826</v>
      </c>
    </row>
    <row r="1128" spans="1:4" ht="36.75" customHeight="1">
      <c r="A1128" s="685"/>
      <c r="B1128" s="828" t="s">
        <v>4973</v>
      </c>
      <c r="C1128" s="799">
        <v>345.77</v>
      </c>
      <c r="D1128" s="798" t="s">
        <v>826</v>
      </c>
    </row>
    <row r="1129" spans="1:4" ht="36.75" customHeight="1">
      <c r="A1129" s="685"/>
      <c r="B1129" s="828" t="s">
        <v>4823</v>
      </c>
      <c r="C1129" s="799">
        <v>750</v>
      </c>
      <c r="D1129" s="798" t="s">
        <v>4824</v>
      </c>
    </row>
    <row r="1130" spans="1:4" ht="36.75" customHeight="1">
      <c r="A1130" s="685"/>
      <c r="B1130" s="828" t="s">
        <v>5110</v>
      </c>
      <c r="C1130" s="799">
        <v>322.92</v>
      </c>
      <c r="D1130" s="798" t="s">
        <v>2283</v>
      </c>
    </row>
    <row r="1131" spans="1:4" ht="36.75" customHeight="1">
      <c r="A1131" s="685"/>
      <c r="B1131" s="828" t="s">
        <v>5111</v>
      </c>
      <c r="C1131" s="799" t="e">
        <f>#REF!</f>
        <v>#REF!</v>
      </c>
      <c r="D1131" s="798" t="s">
        <v>2283</v>
      </c>
    </row>
    <row r="1132" spans="1:4" ht="36.75" customHeight="1">
      <c r="A1132" s="685"/>
      <c r="B1132" s="829" t="s">
        <v>4949</v>
      </c>
      <c r="C1132" s="803"/>
      <c r="D1132" s="795"/>
    </row>
    <row r="1133" spans="1:4" ht="36.75" customHeight="1">
      <c r="A1133" s="685"/>
      <c r="B1133" s="828" t="s">
        <v>4959</v>
      </c>
      <c r="C1133" s="799">
        <f>609.5*6</f>
        <v>3657</v>
      </c>
      <c r="D1133" s="798" t="s">
        <v>2151</v>
      </c>
    </row>
    <row r="1134" spans="1:4" ht="36.75" customHeight="1">
      <c r="A1134" s="685"/>
      <c r="B1134" s="823" t="s">
        <v>4960</v>
      </c>
      <c r="C1134" s="803">
        <f>609.5*7</f>
        <v>4266.5</v>
      </c>
      <c r="D1134" s="795" t="s">
        <v>2151</v>
      </c>
    </row>
    <row r="1135" spans="1:4" ht="36.75" customHeight="1">
      <c r="A1135" s="685"/>
      <c r="B1135" s="823" t="s">
        <v>4826</v>
      </c>
      <c r="C1135" s="803">
        <v>1828.5</v>
      </c>
      <c r="D1135" s="795" t="s">
        <v>2151</v>
      </c>
    </row>
    <row r="1136" spans="1:4" ht="36.75" customHeight="1">
      <c r="A1136" s="685"/>
      <c r="B1136" s="823" t="s">
        <v>4827</v>
      </c>
      <c r="C1136" s="803">
        <v>2438</v>
      </c>
      <c r="D1136" s="795" t="s">
        <v>2151</v>
      </c>
    </row>
    <row r="1137" spans="1:4" ht="36.75" customHeight="1">
      <c r="A1137" s="685"/>
      <c r="B1137" s="829" t="s">
        <v>4950</v>
      </c>
      <c r="C1137" s="803"/>
      <c r="D1137" s="795"/>
    </row>
    <row r="1138" spans="1:4" ht="36.75" customHeight="1">
      <c r="A1138" s="685"/>
      <c r="B1138" s="825" t="s">
        <v>4961</v>
      </c>
      <c r="C1138" s="803">
        <f>87*5</f>
        <v>435</v>
      </c>
      <c r="D1138" s="795" t="s">
        <v>2151</v>
      </c>
    </row>
    <row r="1139" spans="1:4" ht="36.75" customHeight="1">
      <c r="A1139" s="685"/>
      <c r="B1139" s="823" t="s">
        <v>4825</v>
      </c>
      <c r="C1139" s="803">
        <v>174</v>
      </c>
      <c r="D1139" s="795" t="s">
        <v>2151</v>
      </c>
    </row>
    <row r="1140" spans="1:4" ht="36.75" customHeight="1">
      <c r="A1140" s="685"/>
      <c r="B1140" s="823" t="s">
        <v>4826</v>
      </c>
      <c r="C1140" s="803">
        <v>261</v>
      </c>
      <c r="D1140" s="795" t="s">
        <v>2151</v>
      </c>
    </row>
    <row r="1141" spans="1:4" ht="36.75" customHeight="1">
      <c r="A1141" s="685"/>
      <c r="B1141" s="823" t="s">
        <v>4827</v>
      </c>
      <c r="C1141" s="803">
        <v>348</v>
      </c>
      <c r="D1141" s="795" t="s">
        <v>2151</v>
      </c>
    </row>
    <row r="1142" spans="1:4" ht="36.75" customHeight="1">
      <c r="A1142" s="685"/>
      <c r="B1142" s="823" t="s">
        <v>4958</v>
      </c>
      <c r="C1142" s="803">
        <v>1878</v>
      </c>
      <c r="D1142" s="795" t="s">
        <v>1398</v>
      </c>
    </row>
    <row r="1143" spans="1:4" ht="36.75" customHeight="1">
      <c r="A1143" s="685"/>
      <c r="B1143" s="823" t="s">
        <v>318</v>
      </c>
      <c r="C1143" s="803"/>
      <c r="D1143" s="795" t="s">
        <v>826</v>
      </c>
    </row>
    <row r="1144" spans="1:4" ht="36.75" customHeight="1">
      <c r="A1144" s="685"/>
      <c r="B1144" s="825" t="s">
        <v>4828</v>
      </c>
      <c r="C1144" s="803">
        <v>30000</v>
      </c>
      <c r="D1144" s="795" t="s">
        <v>282</v>
      </c>
    </row>
    <row r="1145" spans="1:4" ht="36.75" customHeight="1">
      <c r="A1145" s="685"/>
      <c r="B1145" s="825" t="s">
        <v>4829</v>
      </c>
      <c r="C1145" s="803">
        <v>5500</v>
      </c>
      <c r="D1145" s="795" t="s">
        <v>282</v>
      </c>
    </row>
    <row r="1146" spans="1:4" ht="36.75" customHeight="1">
      <c r="A1146" s="685"/>
      <c r="B1146" s="825" t="s">
        <v>4830</v>
      </c>
      <c r="C1146" s="803">
        <v>6000</v>
      </c>
      <c r="D1146" s="795" t="s">
        <v>282</v>
      </c>
    </row>
    <row r="1147" spans="1:4" ht="36.75" customHeight="1">
      <c r="A1147" s="685"/>
      <c r="B1147" s="825" t="s">
        <v>4831</v>
      </c>
      <c r="C1147" s="803">
        <v>84000</v>
      </c>
      <c r="D1147" s="795" t="s">
        <v>282</v>
      </c>
    </row>
    <row r="1148" spans="1:4" ht="36.75" customHeight="1">
      <c r="A1148" s="685"/>
      <c r="B1148" s="825" t="s">
        <v>4832</v>
      </c>
      <c r="C1148" s="803">
        <v>185000</v>
      </c>
      <c r="D1148" s="795" t="s">
        <v>282</v>
      </c>
    </row>
    <row r="1149" spans="1:4" ht="36.75" customHeight="1">
      <c r="A1149" s="685"/>
      <c r="B1149" s="825" t="s">
        <v>4833</v>
      </c>
      <c r="C1149" s="803">
        <v>32000</v>
      </c>
      <c r="D1149" s="795" t="s">
        <v>145</v>
      </c>
    </row>
    <row r="1150" spans="1:4" ht="36.75" customHeight="1">
      <c r="A1150" s="685"/>
      <c r="B1150" s="825" t="s">
        <v>4834</v>
      </c>
      <c r="C1150" s="803">
        <v>400000</v>
      </c>
      <c r="D1150" s="795" t="s">
        <v>282</v>
      </c>
    </row>
    <row r="1151" spans="1:4" ht="36.75" customHeight="1">
      <c r="A1151" s="685"/>
      <c r="B1151" s="825" t="s">
        <v>4835</v>
      </c>
      <c r="C1151" s="803">
        <v>275000</v>
      </c>
      <c r="D1151" s="795" t="s">
        <v>145</v>
      </c>
    </row>
    <row r="1152" spans="1:4" ht="36.75" customHeight="1">
      <c r="A1152" s="685"/>
      <c r="B1152" s="825" t="s">
        <v>4836</v>
      </c>
      <c r="C1152" s="803">
        <v>350000</v>
      </c>
      <c r="D1152" s="795" t="s">
        <v>145</v>
      </c>
    </row>
    <row r="1153" spans="1:4" ht="36.75" customHeight="1">
      <c r="A1153" s="685"/>
      <c r="B1153" s="825" t="s">
        <v>4837</v>
      </c>
      <c r="C1153" s="803">
        <v>15000</v>
      </c>
      <c r="D1153" s="795" t="s">
        <v>145</v>
      </c>
    </row>
    <row r="1154" spans="1:4" ht="36.75" customHeight="1">
      <c r="A1154" s="685"/>
      <c r="B1154" s="825" t="s">
        <v>4838</v>
      </c>
      <c r="C1154" s="803">
        <v>28500</v>
      </c>
      <c r="D1154" s="795" t="s">
        <v>282</v>
      </c>
    </row>
    <row r="1155" spans="1:4" ht="36.75" customHeight="1">
      <c r="A1155" s="685"/>
      <c r="B1155" s="825" t="s">
        <v>4839</v>
      </c>
      <c r="C1155" s="803">
        <v>25000</v>
      </c>
      <c r="D1155" s="795" t="s">
        <v>282</v>
      </c>
    </row>
    <row r="1156" spans="1:4" ht="36.75" customHeight="1">
      <c r="A1156" s="685"/>
      <c r="B1156" s="825" t="s">
        <v>4840</v>
      </c>
      <c r="C1156" s="803">
        <v>250000</v>
      </c>
      <c r="D1156" s="795" t="s">
        <v>282</v>
      </c>
    </row>
    <row r="1157" spans="1:4" ht="36.75" customHeight="1">
      <c r="A1157" s="685"/>
      <c r="B1157" s="825" t="s">
        <v>4841</v>
      </c>
      <c r="C1157" s="803">
        <v>100000</v>
      </c>
      <c r="D1157" s="795" t="s">
        <v>282</v>
      </c>
    </row>
    <row r="1158" spans="1:4" ht="36.75" customHeight="1">
      <c r="A1158" s="685"/>
      <c r="B1158" s="825" t="s">
        <v>4842</v>
      </c>
      <c r="C1158" s="803">
        <v>15000</v>
      </c>
      <c r="D1158" s="795" t="s">
        <v>4843</v>
      </c>
    </row>
    <row r="1159" spans="1:4" ht="36.75" customHeight="1">
      <c r="A1159" s="685"/>
      <c r="B1159" s="825" t="s">
        <v>4844</v>
      </c>
      <c r="C1159" s="803">
        <v>200000</v>
      </c>
      <c r="D1159" s="795" t="s">
        <v>282</v>
      </c>
    </row>
    <row r="1160" spans="1:4" ht="36.75" customHeight="1">
      <c r="A1160" s="685"/>
      <c r="B1160" s="825" t="s">
        <v>4845</v>
      </c>
      <c r="C1160" s="803">
        <v>150000</v>
      </c>
      <c r="D1160" s="795" t="s">
        <v>282</v>
      </c>
    </row>
    <row r="1161" spans="1:4" ht="36.75" customHeight="1">
      <c r="A1161" s="685"/>
      <c r="B1161" s="825" t="s">
        <v>4846</v>
      </c>
      <c r="C1161" s="803">
        <v>150000</v>
      </c>
      <c r="D1161" s="795" t="s">
        <v>282</v>
      </c>
    </row>
    <row r="1162" spans="1:4" ht="36.75" customHeight="1">
      <c r="A1162" s="685"/>
      <c r="B1162" s="823" t="s">
        <v>4847</v>
      </c>
      <c r="C1162" s="803">
        <v>20.399999999999999</v>
      </c>
      <c r="D1162" s="795" t="s">
        <v>2151</v>
      </c>
    </row>
    <row r="1163" spans="1:4" ht="36.75" customHeight="1">
      <c r="A1163" s="685"/>
      <c r="B1163" s="835" t="s">
        <v>4848</v>
      </c>
      <c r="C1163" s="803"/>
      <c r="D1163" s="795"/>
    </row>
    <row r="1164" spans="1:4" ht="36.75" customHeight="1">
      <c r="A1164" s="685"/>
      <c r="B1164" s="801" t="s">
        <v>5112</v>
      </c>
      <c r="C1164" s="799">
        <v>7000</v>
      </c>
      <c r="D1164" s="798" t="s">
        <v>1432</v>
      </c>
    </row>
    <row r="1165" spans="1:4" ht="36.75" customHeight="1">
      <c r="A1165" s="685"/>
      <c r="B1165" s="801" t="s">
        <v>5113</v>
      </c>
      <c r="C1165" s="799">
        <v>840</v>
      </c>
      <c r="D1165" s="798" t="s">
        <v>1432</v>
      </c>
    </row>
    <row r="1166" spans="1:4" ht="36.75" customHeight="1">
      <c r="A1166" s="685"/>
      <c r="B1166" s="662" t="s">
        <v>5114</v>
      </c>
      <c r="C1166" s="799">
        <v>660</v>
      </c>
      <c r="D1166" s="798" t="s">
        <v>1432</v>
      </c>
    </row>
    <row r="1167" spans="1:4" ht="36.75" customHeight="1">
      <c r="A1167" s="685"/>
      <c r="B1167" s="662" t="s">
        <v>5116</v>
      </c>
      <c r="C1167" s="799">
        <v>450</v>
      </c>
      <c r="D1167" s="798" t="s">
        <v>1432</v>
      </c>
    </row>
    <row r="1168" spans="1:4" ht="36.75" customHeight="1">
      <c r="A1168" s="685"/>
      <c r="B1168" s="662" t="s">
        <v>5115</v>
      </c>
      <c r="C1168" s="799">
        <v>320</v>
      </c>
      <c r="D1168" s="798" t="s">
        <v>1432</v>
      </c>
    </row>
    <row r="1169" spans="1:4" ht="36.75" customHeight="1">
      <c r="A1169" s="685"/>
      <c r="B1169" s="835" t="s">
        <v>4849</v>
      </c>
      <c r="C1169" s="803"/>
      <c r="D1169" s="795"/>
    </row>
    <row r="1170" spans="1:4" ht="36.75" customHeight="1">
      <c r="A1170" s="685"/>
      <c r="B1170" s="836" t="s">
        <v>4956</v>
      </c>
      <c r="C1170" s="803"/>
      <c r="D1170" s="795"/>
    </row>
    <row r="1171" spans="1:4" ht="36.75" customHeight="1">
      <c r="A1171" s="685"/>
      <c r="B1171" s="811" t="s">
        <v>4850</v>
      </c>
      <c r="C1171" s="803">
        <v>1372</v>
      </c>
      <c r="D1171" s="795" t="s">
        <v>1432</v>
      </c>
    </row>
    <row r="1172" spans="1:4" ht="36.75" customHeight="1">
      <c r="A1172" s="685"/>
      <c r="B1172" s="816" t="s">
        <v>4851</v>
      </c>
      <c r="C1172" s="803"/>
      <c r="D1172" s="795"/>
    </row>
    <row r="1173" spans="1:4" ht="36.75" customHeight="1">
      <c r="A1173" s="685"/>
      <c r="B1173" s="817" t="s">
        <v>6274</v>
      </c>
      <c r="C1173" s="803">
        <v>2506</v>
      </c>
      <c r="D1173" s="795" t="s">
        <v>1432</v>
      </c>
    </row>
    <row r="1174" spans="1:4" ht="36.75" customHeight="1">
      <c r="A1174" s="685"/>
      <c r="B1174" s="837" t="s">
        <v>4852</v>
      </c>
      <c r="C1174" s="803"/>
      <c r="D1174" s="795"/>
    </row>
    <row r="1175" spans="1:4" ht="36.75" customHeight="1">
      <c r="A1175" s="685"/>
      <c r="B1175" s="838" t="s">
        <v>6275</v>
      </c>
      <c r="C1175" s="839">
        <v>1236</v>
      </c>
      <c r="D1175" s="840" t="s">
        <v>1432</v>
      </c>
    </row>
    <row r="1176" spans="1:4" ht="36.75" customHeight="1">
      <c r="A1176" s="685"/>
      <c r="B1176" s="841"/>
      <c r="C1176" s="842"/>
      <c r="D1176" s="843"/>
    </row>
    <row r="1177" spans="1:4" ht="36.75" customHeight="1">
      <c r="A1177" s="685"/>
      <c r="B1177" s="841" t="s">
        <v>6276</v>
      </c>
      <c r="C1177" s="724">
        <v>425</v>
      </c>
      <c r="D1177" s="840" t="s">
        <v>1398</v>
      </c>
    </row>
    <row r="1178" spans="1:4" ht="36.75" customHeight="1">
      <c r="A1178" s="685"/>
      <c r="B1178" s="837" t="s">
        <v>2141</v>
      </c>
      <c r="C1178" s="844"/>
      <c r="D1178" s="845"/>
    </row>
    <row r="1179" spans="1:4" ht="36.75" customHeight="1">
      <c r="A1179" s="685"/>
      <c r="B1179" s="838" t="s">
        <v>6277</v>
      </c>
      <c r="C1179" s="839">
        <v>641</v>
      </c>
      <c r="D1179" s="840" t="s">
        <v>1398</v>
      </c>
    </row>
    <row r="1180" spans="1:4" ht="36.75" customHeight="1">
      <c r="A1180" s="685"/>
      <c r="B1180" s="846" t="s">
        <v>6278</v>
      </c>
      <c r="C1180" s="839">
        <v>173</v>
      </c>
      <c r="D1180" s="847" t="s">
        <v>1398</v>
      </c>
    </row>
    <row r="1181" spans="1:4" ht="36.75" customHeight="1">
      <c r="A1181" s="685"/>
      <c r="B1181" s="838" t="s">
        <v>6279</v>
      </c>
      <c r="C1181" s="839">
        <v>1879</v>
      </c>
      <c r="D1181" s="847" t="s">
        <v>1398</v>
      </c>
    </row>
    <row r="1182" spans="1:4" ht="36.75" customHeight="1">
      <c r="A1182" s="685"/>
      <c r="B1182" s="837" t="s">
        <v>4853</v>
      </c>
      <c r="C1182" s="844"/>
      <c r="D1182" s="845"/>
    </row>
    <row r="1183" spans="1:4" ht="36.75" customHeight="1">
      <c r="A1183" s="685"/>
      <c r="B1183" s="848" t="s">
        <v>6280</v>
      </c>
      <c r="C1183" s="842">
        <v>174</v>
      </c>
      <c r="D1183" s="843" t="s">
        <v>4854</v>
      </c>
    </row>
    <row r="1184" spans="1:4" ht="36.75" customHeight="1">
      <c r="A1184" s="685"/>
      <c r="B1184" s="848" t="s">
        <v>6281</v>
      </c>
      <c r="C1184" s="842">
        <v>341</v>
      </c>
      <c r="D1184" s="843" t="s">
        <v>4854</v>
      </c>
    </row>
    <row r="1185" spans="1:4" ht="36.75" customHeight="1">
      <c r="A1185" s="685"/>
      <c r="B1185" s="848" t="s">
        <v>6282</v>
      </c>
      <c r="C1185" s="842">
        <v>462</v>
      </c>
      <c r="D1185" s="843" t="s">
        <v>4854</v>
      </c>
    </row>
    <row r="1186" spans="1:4" ht="36.75" customHeight="1">
      <c r="A1186" s="685"/>
      <c r="B1186" s="849" t="s">
        <v>4855</v>
      </c>
      <c r="C1186" s="839"/>
      <c r="D1186" s="840"/>
    </row>
    <row r="1187" spans="1:4" ht="36.75" customHeight="1">
      <c r="A1187" s="685"/>
      <c r="B1187" s="841" t="s">
        <v>6283</v>
      </c>
      <c r="C1187" s="850">
        <v>2588</v>
      </c>
      <c r="D1187" s="839" t="s">
        <v>1714</v>
      </c>
    </row>
    <row r="1188" spans="1:4" ht="36.75" customHeight="1">
      <c r="A1188" s="685"/>
      <c r="B1188" s="841" t="s">
        <v>6284</v>
      </c>
      <c r="C1188" s="851">
        <v>7846</v>
      </c>
      <c r="D1188" s="839" t="s">
        <v>1714</v>
      </c>
    </row>
    <row r="1189" spans="1:4" ht="36.75" customHeight="1">
      <c r="A1189" s="685"/>
      <c r="B1189" s="841" t="s">
        <v>6285</v>
      </c>
      <c r="C1189" s="724">
        <v>128.5</v>
      </c>
      <c r="D1189" s="847" t="s">
        <v>4854</v>
      </c>
    </row>
    <row r="1190" spans="1:4" ht="36.75" customHeight="1">
      <c r="A1190" s="685"/>
      <c r="B1190" s="841" t="s">
        <v>6286</v>
      </c>
      <c r="C1190" s="850">
        <v>380</v>
      </c>
      <c r="D1190" s="839" t="s">
        <v>1714</v>
      </c>
    </row>
    <row r="1191" spans="1:4" ht="36.75" customHeight="1">
      <c r="A1191" s="685"/>
      <c r="B1191" s="841" t="s">
        <v>4979</v>
      </c>
      <c r="C1191" s="850">
        <v>716</v>
      </c>
      <c r="D1191" s="839" t="s">
        <v>3440</v>
      </c>
    </row>
    <row r="1192" spans="1:4" ht="36.75" customHeight="1">
      <c r="A1192" s="685"/>
      <c r="B1192" s="837" t="s">
        <v>4856</v>
      </c>
      <c r="C1192" s="852"/>
      <c r="D1192" s="844"/>
    </row>
    <row r="1193" spans="1:4" ht="36.75" customHeight="1">
      <c r="A1193" s="685"/>
      <c r="B1193" s="841" t="s">
        <v>6287</v>
      </c>
      <c r="C1193" s="850">
        <v>1853</v>
      </c>
      <c r="D1193" s="839" t="s">
        <v>1714</v>
      </c>
    </row>
    <row r="1194" spans="1:4" ht="36.75" customHeight="1">
      <c r="A1194" s="685"/>
      <c r="B1194" s="662" t="s">
        <v>6288</v>
      </c>
      <c r="C1194" s="799">
        <v>635</v>
      </c>
      <c r="D1194" s="797" t="s">
        <v>1398</v>
      </c>
    </row>
    <row r="1195" spans="1:4" ht="36.75" customHeight="1">
      <c r="A1195" s="685"/>
      <c r="B1195" s="662" t="s">
        <v>5131</v>
      </c>
      <c r="C1195" s="799">
        <v>525</v>
      </c>
      <c r="D1195" s="797" t="s">
        <v>1398</v>
      </c>
    </row>
    <row r="1196" spans="1:4" ht="36.75" customHeight="1">
      <c r="A1196" s="685"/>
      <c r="B1196" s="662" t="s">
        <v>6289</v>
      </c>
      <c r="C1196" s="799">
        <v>1124</v>
      </c>
      <c r="D1196" s="797" t="s">
        <v>1398</v>
      </c>
    </row>
    <row r="1197" spans="1:4" ht="36.75" customHeight="1">
      <c r="A1197" s="685"/>
      <c r="B1197" s="662" t="s">
        <v>6290</v>
      </c>
      <c r="C1197" s="799">
        <v>2708</v>
      </c>
      <c r="D1197" s="797" t="s">
        <v>1398</v>
      </c>
    </row>
    <row r="1198" spans="1:4" ht="36.75" customHeight="1">
      <c r="A1198" s="685"/>
      <c r="B1198" s="662" t="s">
        <v>6291</v>
      </c>
      <c r="C1198" s="799">
        <v>354</v>
      </c>
      <c r="D1198" s="797" t="s">
        <v>1398</v>
      </c>
    </row>
    <row r="1199" spans="1:4" ht="36.75" customHeight="1">
      <c r="A1199" s="685"/>
      <c r="B1199" s="800" t="s">
        <v>4857</v>
      </c>
      <c r="C1199" s="803"/>
      <c r="D1199" s="794"/>
    </row>
    <row r="1200" spans="1:4" ht="36.75" customHeight="1">
      <c r="A1200" s="685"/>
      <c r="B1200" s="809" t="s">
        <v>6292</v>
      </c>
      <c r="C1200" s="803">
        <v>1919</v>
      </c>
      <c r="D1200" s="794" t="s">
        <v>1398</v>
      </c>
    </row>
    <row r="1201" spans="1:4" ht="36.75" customHeight="1">
      <c r="A1201" s="685"/>
      <c r="B1201" s="662" t="s">
        <v>6293</v>
      </c>
      <c r="C1201" s="799">
        <v>1956</v>
      </c>
      <c r="D1201" s="797" t="s">
        <v>1398</v>
      </c>
    </row>
    <row r="1202" spans="1:4" ht="36.75" customHeight="1">
      <c r="A1202" s="685"/>
      <c r="B1202" s="800" t="s">
        <v>4858</v>
      </c>
      <c r="C1202" s="803"/>
      <c r="D1202" s="794"/>
    </row>
    <row r="1203" spans="1:4" ht="36.75" customHeight="1">
      <c r="A1203" s="685"/>
      <c r="B1203" s="736" t="s">
        <v>4859</v>
      </c>
      <c r="C1203" s="799"/>
      <c r="D1203" s="797"/>
    </row>
    <row r="1204" spans="1:4" ht="36.75" customHeight="1">
      <c r="A1204" s="685"/>
      <c r="B1204" s="662" t="s">
        <v>5132</v>
      </c>
      <c r="C1204" s="799">
        <v>459</v>
      </c>
      <c r="D1204" s="797" t="s">
        <v>4201</v>
      </c>
    </row>
    <row r="1205" spans="1:4" ht="36.75" customHeight="1">
      <c r="A1205" s="685"/>
      <c r="B1205" s="662" t="s">
        <v>5133</v>
      </c>
      <c r="C1205" s="799">
        <v>532</v>
      </c>
      <c r="D1205" s="797" t="s">
        <v>4201</v>
      </c>
    </row>
    <row r="1206" spans="1:4" ht="36.75" customHeight="1">
      <c r="A1206" s="685"/>
      <c r="B1206" s="800" t="s">
        <v>4860</v>
      </c>
      <c r="C1206" s="803"/>
      <c r="D1206" s="794"/>
    </row>
    <row r="1207" spans="1:4" ht="36.75" customHeight="1">
      <c r="A1207" s="685"/>
      <c r="B1207" s="853" t="s">
        <v>5001</v>
      </c>
      <c r="C1207" s="799">
        <v>898</v>
      </c>
      <c r="D1207" s="797" t="s">
        <v>826</v>
      </c>
    </row>
    <row r="1208" spans="1:4" ht="36.75" customHeight="1">
      <c r="A1208" s="685"/>
      <c r="B1208" s="662" t="s">
        <v>4861</v>
      </c>
      <c r="C1208" s="799"/>
      <c r="D1208" s="797"/>
    </row>
    <row r="1209" spans="1:4" ht="36.75" customHeight="1">
      <c r="A1209" s="685"/>
      <c r="B1209" s="662" t="s">
        <v>4862</v>
      </c>
      <c r="C1209" s="799"/>
      <c r="D1209" s="797"/>
    </row>
    <row r="1210" spans="1:4" ht="36.75" customHeight="1">
      <c r="A1210" s="685"/>
      <c r="B1210" s="662" t="s">
        <v>5002</v>
      </c>
      <c r="C1210" s="799">
        <v>557</v>
      </c>
      <c r="D1210" s="797" t="s">
        <v>826</v>
      </c>
    </row>
    <row r="1211" spans="1:4" ht="36.75" customHeight="1">
      <c r="A1211" s="685"/>
      <c r="B1211" s="662" t="s">
        <v>5156</v>
      </c>
      <c r="C1211" s="799">
        <v>367</v>
      </c>
      <c r="D1211" s="797" t="s">
        <v>826</v>
      </c>
    </row>
    <row r="1212" spans="1:4" ht="36.75" customHeight="1">
      <c r="A1212" s="685"/>
      <c r="B1212" s="662" t="s">
        <v>5157</v>
      </c>
      <c r="C1212" s="799">
        <v>301</v>
      </c>
      <c r="D1212" s="797" t="s">
        <v>826</v>
      </c>
    </row>
    <row r="1213" spans="1:4" ht="36.75" customHeight="1">
      <c r="A1213" s="685"/>
      <c r="B1213" s="662" t="s">
        <v>5003</v>
      </c>
      <c r="C1213" s="799">
        <v>261</v>
      </c>
      <c r="D1213" s="797" t="s">
        <v>826</v>
      </c>
    </row>
    <row r="1214" spans="1:4" ht="36.75" customHeight="1">
      <c r="A1214" s="685"/>
      <c r="B1214" s="800" t="s">
        <v>4863</v>
      </c>
      <c r="C1214" s="803"/>
      <c r="D1214" s="794"/>
    </row>
    <row r="1215" spans="1:4" ht="36.75" customHeight="1">
      <c r="A1215" s="685"/>
      <c r="B1215" s="662" t="s">
        <v>5004</v>
      </c>
      <c r="C1215" s="854">
        <v>504</v>
      </c>
      <c r="D1215" s="797" t="s">
        <v>1714</v>
      </c>
    </row>
    <row r="1216" spans="1:4" ht="36.75" customHeight="1">
      <c r="A1216" s="685"/>
      <c r="B1216" s="662" t="s">
        <v>5005</v>
      </c>
      <c r="C1216" s="854">
        <v>463</v>
      </c>
      <c r="D1216" s="797" t="s">
        <v>1714</v>
      </c>
    </row>
    <row r="1217" spans="1:4" ht="36.75" customHeight="1">
      <c r="A1217" s="685"/>
      <c r="B1217" s="662" t="s">
        <v>5006</v>
      </c>
      <c r="C1217" s="799">
        <v>340</v>
      </c>
      <c r="D1217" s="797" t="s">
        <v>1714</v>
      </c>
    </row>
    <row r="1218" spans="1:4" ht="36.75" customHeight="1">
      <c r="A1218" s="685"/>
      <c r="B1218" s="662" t="s">
        <v>5007</v>
      </c>
      <c r="C1218" s="799">
        <v>327</v>
      </c>
      <c r="D1218" s="797" t="s">
        <v>1714</v>
      </c>
    </row>
    <row r="1219" spans="1:4" ht="36.75" customHeight="1">
      <c r="A1219" s="685"/>
      <c r="B1219" s="662" t="s">
        <v>5008</v>
      </c>
      <c r="C1219" s="799">
        <v>319</v>
      </c>
      <c r="D1219" s="797" t="s">
        <v>1714</v>
      </c>
    </row>
    <row r="1220" spans="1:4" ht="36.75" customHeight="1">
      <c r="A1220" s="685"/>
      <c r="B1220" s="800" t="s">
        <v>4864</v>
      </c>
      <c r="C1220" s="803"/>
      <c r="D1220" s="794"/>
    </row>
    <row r="1221" spans="1:4" ht="36.75" customHeight="1">
      <c r="A1221" s="685"/>
      <c r="B1221" s="662" t="s">
        <v>5009</v>
      </c>
      <c r="C1221" s="799">
        <v>442</v>
      </c>
      <c r="D1221" s="797" t="s">
        <v>1714</v>
      </c>
    </row>
    <row r="1222" spans="1:4" ht="36.75" customHeight="1">
      <c r="A1222" s="685"/>
      <c r="B1222" s="662" t="s">
        <v>5010</v>
      </c>
      <c r="C1222" s="799">
        <v>293</v>
      </c>
      <c r="D1222" s="797" t="s">
        <v>1714</v>
      </c>
    </row>
    <row r="1223" spans="1:4" ht="36.75" customHeight="1">
      <c r="A1223" s="685"/>
      <c r="B1223" s="662" t="s">
        <v>5011</v>
      </c>
      <c r="C1223" s="799">
        <v>277</v>
      </c>
      <c r="D1223" s="797" t="s">
        <v>1714</v>
      </c>
    </row>
    <row r="1224" spans="1:4" ht="36.75" customHeight="1">
      <c r="A1224" s="685"/>
      <c r="B1224" s="662" t="s">
        <v>5012</v>
      </c>
      <c r="C1224" s="799">
        <v>274</v>
      </c>
      <c r="D1224" s="797" t="s">
        <v>1714</v>
      </c>
    </row>
    <row r="1225" spans="1:4" ht="36.75" customHeight="1">
      <c r="A1225" s="685"/>
      <c r="B1225" s="662" t="s">
        <v>5013</v>
      </c>
      <c r="C1225" s="799">
        <v>274</v>
      </c>
      <c r="D1225" s="797" t="s">
        <v>1714</v>
      </c>
    </row>
    <row r="1226" spans="1:4" ht="36.75" customHeight="1">
      <c r="A1226" s="685"/>
      <c r="B1226" s="855" t="s">
        <v>4865</v>
      </c>
      <c r="C1226" s="803"/>
      <c r="D1226" s="794"/>
    </row>
    <row r="1227" spans="1:4" ht="36.75" customHeight="1">
      <c r="A1227" s="685"/>
      <c r="B1227" s="662" t="s">
        <v>4974</v>
      </c>
      <c r="C1227" s="799">
        <v>15777</v>
      </c>
      <c r="D1227" s="797" t="s">
        <v>1714</v>
      </c>
    </row>
    <row r="1228" spans="1:4" ht="36.75" customHeight="1">
      <c r="A1228" s="685"/>
      <c r="B1228" s="662" t="s">
        <v>6294</v>
      </c>
      <c r="C1228" s="799">
        <v>17231</v>
      </c>
      <c r="D1228" s="797" t="s">
        <v>1714</v>
      </c>
    </row>
    <row r="1229" spans="1:4" ht="36.75" customHeight="1">
      <c r="A1229" s="685"/>
      <c r="B1229" s="855" t="s">
        <v>4866</v>
      </c>
      <c r="C1229" s="803"/>
      <c r="D1229" s="794"/>
    </row>
    <row r="1230" spans="1:4" ht="36.75" customHeight="1">
      <c r="A1230" s="685"/>
      <c r="B1230" s="662" t="s">
        <v>6295</v>
      </c>
      <c r="C1230" s="799">
        <v>1340</v>
      </c>
      <c r="D1230" s="797" t="s">
        <v>1714</v>
      </c>
    </row>
    <row r="1231" spans="1:4" ht="36.75" customHeight="1">
      <c r="A1231" s="685"/>
      <c r="B1231" s="662" t="s">
        <v>6296</v>
      </c>
      <c r="C1231" s="799">
        <v>549</v>
      </c>
      <c r="D1231" s="797" t="s">
        <v>1714</v>
      </c>
    </row>
    <row r="1232" spans="1:4" ht="36.75" customHeight="1">
      <c r="A1232" s="685"/>
      <c r="B1232" s="662" t="s">
        <v>6297</v>
      </c>
      <c r="C1232" s="799">
        <v>380</v>
      </c>
      <c r="D1232" s="797" t="s">
        <v>3440</v>
      </c>
    </row>
    <row r="1233" spans="1:4" ht="36.75" customHeight="1">
      <c r="A1233" s="685"/>
      <c r="B1233" s="800" t="s">
        <v>4867</v>
      </c>
      <c r="C1233" s="803"/>
      <c r="D1233" s="794"/>
    </row>
    <row r="1234" spans="1:4" ht="36.75" customHeight="1">
      <c r="A1234" s="685"/>
      <c r="B1234" s="801" t="s">
        <v>4868</v>
      </c>
      <c r="C1234" s="803"/>
      <c r="D1234" s="794"/>
    </row>
    <row r="1235" spans="1:4" ht="36.75" customHeight="1">
      <c r="A1235" s="685"/>
      <c r="B1235" s="662" t="s">
        <v>6298</v>
      </c>
      <c r="C1235" s="799">
        <v>1328</v>
      </c>
      <c r="D1235" s="797" t="s">
        <v>1398</v>
      </c>
    </row>
    <row r="1236" spans="1:4" ht="36.75" customHeight="1">
      <c r="A1236" s="685"/>
      <c r="B1236" s="662" t="s">
        <v>6299</v>
      </c>
      <c r="C1236" s="799">
        <v>950</v>
      </c>
      <c r="D1236" s="797" t="s">
        <v>1398</v>
      </c>
    </row>
    <row r="1237" spans="1:4" ht="36.75" customHeight="1">
      <c r="A1237" s="685"/>
      <c r="B1237" s="662" t="s">
        <v>6300</v>
      </c>
      <c r="C1237" s="799">
        <v>1805</v>
      </c>
      <c r="D1237" s="797" t="s">
        <v>1398</v>
      </c>
    </row>
    <row r="1238" spans="1:4" ht="36.75" customHeight="1">
      <c r="A1238" s="685"/>
      <c r="B1238" s="855" t="s">
        <v>4869</v>
      </c>
      <c r="C1238" s="803"/>
      <c r="D1238" s="794"/>
    </row>
    <row r="1239" spans="1:4" ht="36.75" customHeight="1">
      <c r="A1239" s="685"/>
      <c r="B1239" s="801" t="s">
        <v>6301</v>
      </c>
      <c r="C1239" s="803">
        <v>30250</v>
      </c>
      <c r="D1239" s="794" t="s">
        <v>1398</v>
      </c>
    </row>
    <row r="1240" spans="1:4" ht="36.75" customHeight="1">
      <c r="A1240" s="685"/>
      <c r="B1240" s="801" t="s">
        <v>6302</v>
      </c>
      <c r="C1240" s="803">
        <v>141</v>
      </c>
      <c r="D1240" s="794" t="s">
        <v>4202</v>
      </c>
    </row>
    <row r="1241" spans="1:4" ht="36.75" customHeight="1">
      <c r="A1241" s="685"/>
      <c r="B1241" s="800" t="s">
        <v>4870</v>
      </c>
      <c r="C1241" s="803"/>
      <c r="D1241" s="794"/>
    </row>
    <row r="1242" spans="1:4" ht="36.75" customHeight="1">
      <c r="A1242" s="685"/>
      <c r="B1242" s="809" t="s">
        <v>6303</v>
      </c>
      <c r="C1242" s="803">
        <v>6161</v>
      </c>
      <c r="D1242" s="794" t="s">
        <v>1714</v>
      </c>
    </row>
    <row r="1243" spans="1:4" ht="36.75" customHeight="1">
      <c r="A1243" s="685"/>
      <c r="B1243" s="856" t="s">
        <v>4871</v>
      </c>
      <c r="C1243" s="803"/>
      <c r="D1243" s="794"/>
    </row>
    <row r="1244" spans="1:4" ht="36.75" customHeight="1">
      <c r="A1244" s="685"/>
      <c r="B1244" s="801" t="s">
        <v>5015</v>
      </c>
      <c r="C1244" s="803"/>
      <c r="D1244" s="794"/>
    </row>
    <row r="1245" spans="1:4" ht="36.75" customHeight="1">
      <c r="A1245" s="685"/>
      <c r="B1245" s="809" t="s">
        <v>5016</v>
      </c>
      <c r="C1245" s="803"/>
      <c r="D1245" s="794"/>
    </row>
    <row r="1246" spans="1:4" ht="36.75" customHeight="1">
      <c r="A1246" s="685"/>
      <c r="B1246" s="736" t="s">
        <v>5017</v>
      </c>
      <c r="C1246" s="799">
        <v>55127</v>
      </c>
      <c r="D1246" s="797"/>
    </row>
    <row r="1247" spans="1:4" ht="36.75" customHeight="1">
      <c r="A1247" s="685"/>
      <c r="B1247" s="809" t="s">
        <v>5018</v>
      </c>
      <c r="C1247" s="803"/>
      <c r="D1247" s="794"/>
    </row>
    <row r="1248" spans="1:4" ht="36.75" customHeight="1">
      <c r="A1248" s="685"/>
      <c r="B1248" s="801" t="s">
        <v>5019</v>
      </c>
      <c r="C1248" s="803"/>
      <c r="D1248" s="794"/>
    </row>
    <row r="1249" spans="1:4" ht="36.75" customHeight="1">
      <c r="A1249" s="685"/>
      <c r="B1249" s="736" t="s">
        <v>5020</v>
      </c>
      <c r="C1249" s="799">
        <v>165743</v>
      </c>
      <c r="D1249" s="797" t="s">
        <v>1398</v>
      </c>
    </row>
    <row r="1250" spans="1:4" ht="36.75" customHeight="1">
      <c r="A1250" s="685"/>
      <c r="B1250" s="801" t="s">
        <v>4872</v>
      </c>
      <c r="C1250" s="803"/>
      <c r="D1250" s="794"/>
    </row>
    <row r="1251" spans="1:4" ht="36.75" customHeight="1">
      <c r="A1251" s="685"/>
      <c r="B1251" s="801" t="s">
        <v>4873</v>
      </c>
      <c r="C1251" s="803"/>
      <c r="D1251" s="794"/>
    </row>
    <row r="1252" spans="1:4" ht="36.75" customHeight="1">
      <c r="A1252" s="685"/>
      <c r="B1252" s="736" t="s">
        <v>6304</v>
      </c>
      <c r="C1252" s="799">
        <v>241785</v>
      </c>
      <c r="D1252" s="797" t="s">
        <v>1432</v>
      </c>
    </row>
    <row r="1253" spans="1:4" ht="36.75" customHeight="1">
      <c r="A1253" s="685"/>
      <c r="B1253" s="736" t="s">
        <v>5117</v>
      </c>
      <c r="C1253" s="799">
        <v>348</v>
      </c>
      <c r="D1253" s="797" t="s">
        <v>1432</v>
      </c>
    </row>
    <row r="1254" spans="1:4" ht="36.75" customHeight="1">
      <c r="A1254" s="685"/>
      <c r="B1254" s="736" t="s">
        <v>4975</v>
      </c>
      <c r="C1254" s="799">
        <v>38</v>
      </c>
      <c r="D1254" s="797" t="s">
        <v>826</v>
      </c>
    </row>
    <row r="1255" spans="1:4" ht="36.75" customHeight="1">
      <c r="A1255" s="685"/>
      <c r="B1255" s="662" t="s">
        <v>6305</v>
      </c>
      <c r="C1255" s="799">
        <v>30000</v>
      </c>
      <c r="D1255" s="797" t="s">
        <v>1714</v>
      </c>
    </row>
    <row r="1256" spans="1:4" ht="36.75" customHeight="1">
      <c r="A1256" s="685"/>
      <c r="B1256" s="662" t="s">
        <v>4874</v>
      </c>
      <c r="C1256" s="799">
        <v>500000</v>
      </c>
      <c r="D1256" s="797" t="s">
        <v>449</v>
      </c>
    </row>
    <row r="1257" spans="1:4" ht="36.75" customHeight="1">
      <c r="A1257" s="685"/>
      <c r="B1257" s="800" t="s">
        <v>4875</v>
      </c>
      <c r="C1257" s="803"/>
      <c r="D1257" s="794"/>
    </row>
    <row r="1258" spans="1:4" ht="36.75" customHeight="1">
      <c r="A1258" s="685"/>
      <c r="B1258" s="802" t="s">
        <v>5021</v>
      </c>
      <c r="C1258" s="803"/>
      <c r="D1258" s="794"/>
    </row>
    <row r="1259" spans="1:4" ht="36.75" customHeight="1">
      <c r="A1259" s="685"/>
      <c r="B1259" s="805" t="s">
        <v>5118</v>
      </c>
      <c r="C1259" s="805">
        <v>522900</v>
      </c>
      <c r="D1259" s="805" t="s">
        <v>1398</v>
      </c>
    </row>
    <row r="1260" spans="1:4" ht="36.75" customHeight="1">
      <c r="A1260" s="685"/>
      <c r="B1260" s="805" t="s">
        <v>4976</v>
      </c>
      <c r="C1260" s="805">
        <v>60000</v>
      </c>
      <c r="D1260" s="805" t="s">
        <v>4977</v>
      </c>
    </row>
    <row r="1261" spans="1:4" ht="36.75" customHeight="1">
      <c r="A1261" s="685"/>
      <c r="B1261" s="802" t="s">
        <v>4877</v>
      </c>
      <c r="C1261" s="805"/>
      <c r="D1261" s="805"/>
    </row>
    <row r="1262" spans="1:4" ht="36.75" customHeight="1">
      <c r="A1262" s="685"/>
      <c r="B1262" s="801" t="s">
        <v>5022</v>
      </c>
      <c r="C1262" s="803">
        <v>7000</v>
      </c>
      <c r="D1262" s="794" t="s">
        <v>1398</v>
      </c>
    </row>
    <row r="1263" spans="1:4" ht="36.75" customHeight="1">
      <c r="A1263" s="685"/>
      <c r="B1263" s="801" t="s">
        <v>4878</v>
      </c>
      <c r="C1263" s="799">
        <v>27646</v>
      </c>
      <c r="D1263" s="797" t="s">
        <v>1394</v>
      </c>
    </row>
    <row r="1264" spans="1:4" ht="36.75" customHeight="1">
      <c r="A1264" s="685"/>
      <c r="B1264" s="662" t="s">
        <v>4876</v>
      </c>
      <c r="C1264" s="799"/>
      <c r="D1264" s="797"/>
    </row>
    <row r="1265" spans="1:4" ht="36.75" customHeight="1">
      <c r="A1265" s="685"/>
      <c r="B1265" s="855" t="s">
        <v>4879</v>
      </c>
      <c r="C1265" s="803"/>
      <c r="D1265" s="794"/>
    </row>
    <row r="1266" spans="1:4" ht="36.75" customHeight="1">
      <c r="A1266" s="685"/>
      <c r="B1266" s="800" t="s">
        <v>4880</v>
      </c>
      <c r="C1266" s="799">
        <v>339.3</v>
      </c>
      <c r="D1266" s="797" t="s">
        <v>3440</v>
      </c>
    </row>
    <row r="1267" spans="1:4" ht="36.75" customHeight="1">
      <c r="A1267" s="685"/>
      <c r="B1267" s="662" t="s">
        <v>4876</v>
      </c>
      <c r="C1267" s="799">
        <v>339.3</v>
      </c>
      <c r="D1267" s="797" t="s">
        <v>3440</v>
      </c>
    </row>
    <row r="1268" spans="1:4" ht="36.75" customHeight="1">
      <c r="A1268" s="685"/>
      <c r="B1268" s="853" t="s">
        <v>4881</v>
      </c>
      <c r="C1268" s="799">
        <v>2756</v>
      </c>
      <c r="D1268" s="797" t="s">
        <v>3440</v>
      </c>
    </row>
    <row r="1269" spans="1:4" ht="36.75" customHeight="1">
      <c r="A1269" s="685"/>
      <c r="B1269" s="662" t="s">
        <v>4876</v>
      </c>
      <c r="C1269" s="799">
        <v>2756</v>
      </c>
      <c r="D1269" s="797" t="s">
        <v>3440</v>
      </c>
    </row>
    <row r="1270" spans="1:4" ht="36.75" customHeight="1">
      <c r="A1270" s="685"/>
      <c r="B1270" s="853" t="s">
        <v>4882</v>
      </c>
      <c r="C1270" s="799">
        <v>197</v>
      </c>
      <c r="D1270" s="797" t="s">
        <v>3440</v>
      </c>
    </row>
    <row r="1271" spans="1:4" ht="36.75" customHeight="1">
      <c r="A1271" s="685"/>
      <c r="B1271" s="662" t="s">
        <v>4876</v>
      </c>
      <c r="C1271" s="799">
        <v>197</v>
      </c>
      <c r="D1271" s="797" t="s">
        <v>3440</v>
      </c>
    </row>
    <row r="1272" spans="1:4" ht="36.75" customHeight="1">
      <c r="A1272" s="685"/>
      <c r="B1272" s="853" t="s">
        <v>4883</v>
      </c>
      <c r="C1272" s="799">
        <v>4245</v>
      </c>
      <c r="D1272" s="797" t="s">
        <v>282</v>
      </c>
    </row>
    <row r="1273" spans="1:4" ht="36.75" customHeight="1">
      <c r="A1273" s="685"/>
      <c r="B1273" s="662" t="s">
        <v>4876</v>
      </c>
      <c r="C1273" s="799">
        <v>4245</v>
      </c>
      <c r="D1273" s="797" t="s">
        <v>282</v>
      </c>
    </row>
    <row r="1274" spans="1:4" ht="36.75" customHeight="1">
      <c r="A1274" s="685"/>
      <c r="B1274" s="857" t="s">
        <v>4884</v>
      </c>
      <c r="C1274" s="803"/>
      <c r="D1274" s="794"/>
    </row>
    <row r="1275" spans="1:4" ht="36.75" customHeight="1">
      <c r="A1275" s="685"/>
      <c r="B1275" s="853" t="s">
        <v>4885</v>
      </c>
      <c r="C1275" s="799">
        <v>30000</v>
      </c>
      <c r="D1275" s="797" t="s">
        <v>5119</v>
      </c>
    </row>
    <row r="1276" spans="1:4" ht="36.75" customHeight="1">
      <c r="A1276" s="685"/>
      <c r="B1276" s="662" t="s">
        <v>4876</v>
      </c>
      <c r="C1276" s="799">
        <v>30000</v>
      </c>
      <c r="D1276" s="797" t="s">
        <v>5119</v>
      </c>
    </row>
    <row r="1277" spans="1:4" ht="36.75" customHeight="1">
      <c r="A1277" s="685"/>
      <c r="B1277" s="853" t="s">
        <v>4886</v>
      </c>
      <c r="C1277" s="799">
        <v>16750</v>
      </c>
      <c r="D1277" s="797" t="s">
        <v>282</v>
      </c>
    </row>
    <row r="1278" spans="1:4" ht="36.75" customHeight="1">
      <c r="A1278" s="685"/>
      <c r="B1278" s="662" t="s">
        <v>4876</v>
      </c>
      <c r="C1278" s="799">
        <v>16750</v>
      </c>
      <c r="D1278" s="797" t="s">
        <v>282</v>
      </c>
    </row>
    <row r="1279" spans="1:4" ht="36.75" customHeight="1">
      <c r="A1279" s="685"/>
      <c r="B1279" s="857" t="s">
        <v>4887</v>
      </c>
      <c r="C1279" s="803"/>
      <c r="D1279" s="794"/>
    </row>
    <row r="1280" spans="1:4" ht="36.75" customHeight="1">
      <c r="A1280" s="685"/>
      <c r="B1280" s="858" t="s">
        <v>4888</v>
      </c>
      <c r="C1280" s="859"/>
      <c r="D1280" s="860"/>
    </row>
    <row r="1281" spans="1:4" ht="36.75" customHeight="1">
      <c r="A1281" s="685"/>
      <c r="B1281" s="662" t="s">
        <v>4862</v>
      </c>
      <c r="C1281" s="859"/>
      <c r="D1281" s="860"/>
    </row>
    <row r="1282" spans="1:4" ht="36.75" customHeight="1">
      <c r="A1282" s="685"/>
      <c r="B1282" s="662" t="s">
        <v>5014</v>
      </c>
      <c r="C1282" s="799">
        <v>1169</v>
      </c>
      <c r="D1282" s="797" t="s">
        <v>3440</v>
      </c>
    </row>
    <row r="1283" spans="1:4" ht="36.75" customHeight="1">
      <c r="A1283" s="685"/>
      <c r="B1283" s="662" t="s">
        <v>4876</v>
      </c>
      <c r="C1283" s="799"/>
      <c r="D1283" s="797"/>
    </row>
    <row r="1284" spans="1:4" ht="36.75" customHeight="1">
      <c r="A1284" s="685"/>
      <c r="B1284" s="853" t="s">
        <v>4863</v>
      </c>
      <c r="C1284" s="799"/>
      <c r="D1284" s="797"/>
    </row>
    <row r="1285" spans="1:4" ht="36.75" customHeight="1">
      <c r="A1285" s="685"/>
      <c r="B1285" s="662" t="s">
        <v>4978</v>
      </c>
      <c r="C1285" s="799">
        <v>573</v>
      </c>
      <c r="D1285" s="797" t="s">
        <v>1432</v>
      </c>
    </row>
    <row r="1286" spans="1:4" ht="36.75" customHeight="1">
      <c r="A1286" s="685"/>
      <c r="B1286" s="853" t="s">
        <v>4864</v>
      </c>
      <c r="C1286" s="799"/>
      <c r="D1286" s="797"/>
    </row>
    <row r="1287" spans="1:4" ht="36.75" customHeight="1">
      <c r="A1287" s="685"/>
      <c r="B1287" s="662" t="s">
        <v>6306</v>
      </c>
      <c r="C1287" s="799">
        <v>468</v>
      </c>
      <c r="D1287" s="797" t="s">
        <v>1432</v>
      </c>
    </row>
    <row r="1288" spans="1:4" ht="36.75" customHeight="1">
      <c r="A1288" s="685"/>
      <c r="B1288" s="861" t="s">
        <v>4980</v>
      </c>
      <c r="C1288" s="799"/>
      <c r="D1288" s="797"/>
    </row>
    <row r="1289" spans="1:4" ht="36.75" customHeight="1">
      <c r="A1289" s="685"/>
      <c r="B1289" s="736" t="s">
        <v>4981</v>
      </c>
      <c r="C1289" s="799">
        <v>300</v>
      </c>
      <c r="D1289" s="797" t="s">
        <v>3440</v>
      </c>
    </row>
    <row r="1290" spans="1:4" ht="36.75" customHeight="1">
      <c r="A1290" s="685"/>
      <c r="B1290" s="861" t="s">
        <v>4982</v>
      </c>
      <c r="C1290" s="799"/>
      <c r="D1290" s="797"/>
    </row>
    <row r="1291" spans="1:4" ht="36.75" customHeight="1">
      <c r="A1291" s="685"/>
      <c r="B1291" s="736" t="s">
        <v>4983</v>
      </c>
      <c r="C1291" s="799">
        <v>300000</v>
      </c>
      <c r="D1291" s="797" t="s">
        <v>3440</v>
      </c>
    </row>
    <row r="1292" spans="1:4" ht="36.75" customHeight="1">
      <c r="A1292" s="685"/>
      <c r="B1292" s="809" t="s">
        <v>4876</v>
      </c>
      <c r="C1292" s="803"/>
      <c r="D1292" s="794" t="s">
        <v>1432</v>
      </c>
    </row>
    <row r="1293" spans="1:4" ht="36.75" customHeight="1">
      <c r="A1293" s="685"/>
      <c r="B1293" s="853" t="s">
        <v>4889</v>
      </c>
      <c r="C1293" s="799"/>
      <c r="D1293" s="797"/>
    </row>
    <row r="1294" spans="1:4" ht="36.75" customHeight="1">
      <c r="A1294" s="685"/>
      <c r="B1294" s="662" t="s">
        <v>4890</v>
      </c>
      <c r="C1294" s="799">
        <v>51890</v>
      </c>
      <c r="D1294" s="797" t="s">
        <v>1432</v>
      </c>
    </row>
    <row r="1295" spans="1:4" ht="36.75" customHeight="1">
      <c r="A1295" s="685"/>
      <c r="B1295" s="662" t="s">
        <v>4891</v>
      </c>
      <c r="C1295" s="799">
        <v>5000</v>
      </c>
      <c r="D1295" s="797" t="s">
        <v>449</v>
      </c>
    </row>
    <row r="1296" spans="1:4" ht="36.75" customHeight="1">
      <c r="A1296" s="685"/>
      <c r="B1296" s="662" t="s">
        <v>4892</v>
      </c>
      <c r="C1296" s="799">
        <v>850</v>
      </c>
      <c r="D1296" s="797" t="s">
        <v>1432</v>
      </c>
    </row>
    <row r="1297" spans="1:4" ht="36.75" customHeight="1">
      <c r="A1297" s="685"/>
      <c r="B1297" s="662" t="s">
        <v>4893</v>
      </c>
      <c r="C1297" s="799">
        <v>48</v>
      </c>
      <c r="D1297" s="797" t="s">
        <v>4894</v>
      </c>
    </row>
    <row r="1298" spans="1:4" ht="36.75" customHeight="1">
      <c r="A1298" s="685"/>
      <c r="B1298" s="662" t="s">
        <v>4895</v>
      </c>
      <c r="C1298" s="799">
        <v>4000</v>
      </c>
      <c r="D1298" s="797" t="s">
        <v>1432</v>
      </c>
    </row>
    <row r="1299" spans="1:4" ht="36.75" customHeight="1">
      <c r="A1299" s="685"/>
      <c r="B1299" s="853" t="s">
        <v>4896</v>
      </c>
      <c r="C1299" s="799"/>
      <c r="D1299" s="797"/>
    </row>
    <row r="1300" spans="1:4" ht="36.75" customHeight="1">
      <c r="A1300" s="685"/>
      <c r="B1300" s="662" t="s">
        <v>4897</v>
      </c>
      <c r="C1300" s="799">
        <v>9250</v>
      </c>
      <c r="D1300" s="797" t="s">
        <v>1432</v>
      </c>
    </row>
    <row r="1301" spans="1:4" ht="36.75" customHeight="1">
      <c r="A1301" s="685"/>
      <c r="B1301" s="662" t="s">
        <v>4898</v>
      </c>
      <c r="C1301" s="799">
        <v>6500</v>
      </c>
      <c r="D1301" s="797" t="s">
        <v>1432</v>
      </c>
    </row>
    <row r="1302" spans="1:4" ht="36.75" customHeight="1">
      <c r="A1302" s="685"/>
      <c r="B1302" s="662" t="s">
        <v>4899</v>
      </c>
      <c r="C1302" s="799">
        <v>700</v>
      </c>
      <c r="D1302" s="797" t="s">
        <v>1432</v>
      </c>
    </row>
    <row r="1303" spans="1:4" ht="36.75" customHeight="1">
      <c r="A1303" s="685"/>
      <c r="B1303" s="662" t="s">
        <v>4900</v>
      </c>
      <c r="C1303" s="799">
        <v>900</v>
      </c>
      <c r="D1303" s="797" t="s">
        <v>1432</v>
      </c>
    </row>
    <row r="1304" spans="1:4" ht="36.75" customHeight="1">
      <c r="A1304" s="685"/>
      <c r="B1304" s="662" t="s">
        <v>4901</v>
      </c>
      <c r="C1304" s="799">
        <v>37400</v>
      </c>
      <c r="D1304" s="797" t="s">
        <v>1432</v>
      </c>
    </row>
    <row r="1305" spans="1:4" ht="36.75" customHeight="1">
      <c r="A1305" s="685"/>
      <c r="B1305" s="662" t="s">
        <v>4902</v>
      </c>
      <c r="C1305" s="799">
        <v>190</v>
      </c>
      <c r="D1305" s="797" t="s">
        <v>1432</v>
      </c>
    </row>
    <row r="1306" spans="1:4" ht="36.75" customHeight="1">
      <c r="A1306" s="685"/>
      <c r="B1306" s="662" t="s">
        <v>4903</v>
      </c>
      <c r="C1306" s="799">
        <v>230</v>
      </c>
      <c r="D1306" s="797" t="s">
        <v>1432</v>
      </c>
    </row>
    <row r="1307" spans="1:4" ht="36.75" customHeight="1">
      <c r="A1307" s="685"/>
      <c r="B1307" s="662" t="s">
        <v>4904</v>
      </c>
      <c r="C1307" s="799">
        <v>275</v>
      </c>
      <c r="D1307" s="797" t="s">
        <v>1432</v>
      </c>
    </row>
    <row r="1308" spans="1:4" ht="36.75" customHeight="1">
      <c r="A1308" s="685"/>
      <c r="B1308" s="662" t="s">
        <v>4905</v>
      </c>
      <c r="C1308" s="799">
        <v>310</v>
      </c>
      <c r="D1308" s="797" t="s">
        <v>1432</v>
      </c>
    </row>
    <row r="1309" spans="1:4" ht="36.75" customHeight="1">
      <c r="A1309" s="685"/>
      <c r="B1309" s="662" t="s">
        <v>4906</v>
      </c>
      <c r="C1309" s="799">
        <v>74</v>
      </c>
      <c r="D1309" s="797" t="s">
        <v>4894</v>
      </c>
    </row>
    <row r="1310" spans="1:4" ht="36.75" customHeight="1">
      <c r="A1310" s="685"/>
      <c r="B1310" s="662" t="s">
        <v>4907</v>
      </c>
      <c r="C1310" s="799">
        <v>12000</v>
      </c>
      <c r="D1310" s="797" t="s">
        <v>1432</v>
      </c>
    </row>
    <row r="1311" spans="1:4" ht="36.75" customHeight="1">
      <c r="A1311" s="685"/>
      <c r="B1311" s="809" t="s">
        <v>4908</v>
      </c>
      <c r="C1311" s="803">
        <v>15000</v>
      </c>
      <c r="D1311" s="794" t="s">
        <v>657</v>
      </c>
    </row>
    <row r="1312" spans="1:4" ht="36.75" customHeight="1">
      <c r="A1312" s="685"/>
      <c r="B1312" s="800" t="s">
        <v>4984</v>
      </c>
      <c r="C1312" s="803"/>
      <c r="D1312" s="794"/>
    </row>
    <row r="1313" spans="1:4" ht="36.75" customHeight="1">
      <c r="A1313" s="685"/>
      <c r="B1313" s="736" t="s">
        <v>4909</v>
      </c>
      <c r="C1313" s="799">
        <v>7664</v>
      </c>
      <c r="D1313" s="797" t="s">
        <v>1432</v>
      </c>
    </row>
    <row r="1314" spans="1:4" ht="36.75" customHeight="1">
      <c r="A1314" s="685"/>
      <c r="B1314" s="736" t="s">
        <v>4910</v>
      </c>
      <c r="C1314" s="799">
        <v>18850</v>
      </c>
      <c r="D1314" s="797" t="s">
        <v>1432</v>
      </c>
    </row>
    <row r="1315" spans="1:4" ht="36.75" customHeight="1">
      <c r="A1315" s="685"/>
      <c r="B1315" s="736" t="s">
        <v>4911</v>
      </c>
      <c r="C1315" s="799">
        <v>29300</v>
      </c>
      <c r="D1315" s="797" t="s">
        <v>1432</v>
      </c>
    </row>
    <row r="1316" spans="1:4" ht="36.75" customHeight="1">
      <c r="A1316" s="685"/>
      <c r="B1316" s="736" t="s">
        <v>4912</v>
      </c>
      <c r="C1316" s="799">
        <v>13250</v>
      </c>
      <c r="D1316" s="797" t="s">
        <v>1432</v>
      </c>
    </row>
    <row r="1317" spans="1:4" ht="36.75" customHeight="1">
      <c r="A1317" s="685"/>
      <c r="B1317" s="805" t="s">
        <v>4913</v>
      </c>
      <c r="C1317" s="799">
        <v>63000</v>
      </c>
      <c r="D1317" s="797" t="s">
        <v>1432</v>
      </c>
    </row>
    <row r="1318" spans="1:4" ht="36.75" customHeight="1">
      <c r="A1318" s="685"/>
      <c r="B1318" s="801" t="s">
        <v>4914</v>
      </c>
      <c r="C1318" s="799">
        <v>10500</v>
      </c>
      <c r="D1318" s="797" t="s">
        <v>1432</v>
      </c>
    </row>
    <row r="1319" spans="1:4" ht="36.75" customHeight="1">
      <c r="A1319" s="685"/>
      <c r="B1319" s="801" t="s">
        <v>4915</v>
      </c>
      <c r="C1319" s="799">
        <v>2350</v>
      </c>
      <c r="D1319" s="797" t="s">
        <v>1432</v>
      </c>
    </row>
    <row r="1320" spans="1:4" ht="36.75" customHeight="1">
      <c r="A1320" s="685"/>
      <c r="B1320" s="801" t="s">
        <v>4916</v>
      </c>
      <c r="C1320" s="799">
        <v>74</v>
      </c>
      <c r="D1320" s="797" t="s">
        <v>4917</v>
      </c>
    </row>
    <row r="1321" spans="1:4" ht="36.75" customHeight="1">
      <c r="A1321" s="685"/>
      <c r="B1321" s="801" t="s">
        <v>4918</v>
      </c>
      <c r="C1321" s="799">
        <v>4000</v>
      </c>
      <c r="D1321" s="797" t="s">
        <v>1432</v>
      </c>
    </row>
    <row r="1322" spans="1:4" ht="36.75" customHeight="1">
      <c r="A1322" s="685"/>
      <c r="B1322" s="801" t="s">
        <v>4919</v>
      </c>
      <c r="C1322" s="799">
        <v>45</v>
      </c>
      <c r="D1322" s="797" t="s">
        <v>4917</v>
      </c>
    </row>
    <row r="1323" spans="1:4" ht="36.75" customHeight="1">
      <c r="A1323" s="685"/>
      <c r="B1323" s="809" t="s">
        <v>4908</v>
      </c>
      <c r="C1323" s="803">
        <v>15000</v>
      </c>
      <c r="D1323" s="794" t="s">
        <v>657</v>
      </c>
    </row>
    <row r="1324" spans="1:4" ht="36.75" customHeight="1">
      <c r="A1324" s="685"/>
      <c r="B1324" s="809" t="s">
        <v>5023</v>
      </c>
      <c r="C1324" s="803">
        <v>175085</v>
      </c>
      <c r="D1324" s="794" t="s">
        <v>282</v>
      </c>
    </row>
    <row r="1325" spans="1:4" ht="36.75" customHeight="1">
      <c r="A1325" s="685"/>
      <c r="B1325" s="662" t="s">
        <v>4952</v>
      </c>
      <c r="C1325" s="799">
        <v>412.96</v>
      </c>
      <c r="D1325" s="797" t="s">
        <v>4917</v>
      </c>
    </row>
    <row r="1326" spans="1:4" ht="36.75" customHeight="1">
      <c r="A1326" s="685"/>
      <c r="B1326" s="662" t="s">
        <v>5024</v>
      </c>
      <c r="C1326" s="799">
        <v>511110</v>
      </c>
      <c r="D1326" s="797" t="s">
        <v>282</v>
      </c>
    </row>
    <row r="1327" spans="1:4" ht="36.75" customHeight="1">
      <c r="A1327" s="685"/>
      <c r="B1327" s="662" t="s">
        <v>5120</v>
      </c>
      <c r="C1327" s="799">
        <v>204.52</v>
      </c>
      <c r="D1327" s="797" t="s">
        <v>2283</v>
      </c>
    </row>
    <row r="1328" spans="1:4" ht="36.75" customHeight="1">
      <c r="A1328" s="685"/>
      <c r="B1328" s="662" t="s">
        <v>5121</v>
      </c>
      <c r="C1328" s="799">
        <v>275000</v>
      </c>
      <c r="D1328" s="797" t="s">
        <v>282</v>
      </c>
    </row>
    <row r="1329" spans="1:4" ht="36.75" customHeight="1">
      <c r="A1329" s="685"/>
      <c r="B1329" s="662" t="s">
        <v>4957</v>
      </c>
      <c r="C1329" s="799">
        <v>636.53</v>
      </c>
      <c r="D1329" s="797" t="s">
        <v>1432</v>
      </c>
    </row>
    <row r="1330" spans="1:4" ht="36.75" customHeight="1">
      <c r="A1330" s="685"/>
      <c r="B1330" s="853" t="s">
        <v>4951</v>
      </c>
      <c r="C1330" s="799"/>
      <c r="D1330" s="797"/>
    </row>
    <row r="1331" spans="1:4" ht="36.75" customHeight="1">
      <c r="A1331" s="685"/>
      <c r="B1331" s="662" t="s">
        <v>5125</v>
      </c>
      <c r="C1331" s="799">
        <v>10050</v>
      </c>
      <c r="D1331" s="797" t="s">
        <v>1398</v>
      </c>
    </row>
    <row r="1332" spans="1:4" ht="36.75" customHeight="1">
      <c r="A1332" s="685"/>
      <c r="B1332" s="662" t="s">
        <v>5122</v>
      </c>
      <c r="C1332" s="799">
        <v>98600</v>
      </c>
      <c r="D1332" s="797" t="s">
        <v>1398</v>
      </c>
    </row>
    <row r="1333" spans="1:4" ht="36.75" customHeight="1">
      <c r="A1333" s="685"/>
      <c r="B1333" s="662" t="s">
        <v>4787</v>
      </c>
      <c r="C1333" s="799">
        <v>10450</v>
      </c>
      <c r="D1333" s="797" t="s">
        <v>1398</v>
      </c>
    </row>
    <row r="1334" spans="1:4" ht="36.75" customHeight="1">
      <c r="A1334" s="685"/>
      <c r="B1334" s="662" t="s">
        <v>5123</v>
      </c>
      <c r="C1334" s="799">
        <v>35000</v>
      </c>
      <c r="D1334" s="797" t="s">
        <v>1398</v>
      </c>
    </row>
    <row r="1335" spans="1:4" ht="36.75" customHeight="1">
      <c r="A1335" s="685"/>
      <c r="B1335" s="662" t="s">
        <v>5124</v>
      </c>
      <c r="C1335" s="799">
        <v>284</v>
      </c>
      <c r="D1335" s="797" t="s">
        <v>826</v>
      </c>
    </row>
    <row r="1336" spans="1:4" ht="36.75" customHeight="1">
      <c r="A1336" s="685"/>
      <c r="B1336" s="662" t="s">
        <v>5126</v>
      </c>
      <c r="C1336" s="799">
        <v>152000</v>
      </c>
      <c r="D1336" s="797" t="s">
        <v>1398</v>
      </c>
    </row>
    <row r="1337" spans="1:4" ht="36.75" customHeight="1">
      <c r="A1337" s="685"/>
      <c r="B1337" s="662" t="s">
        <v>5127</v>
      </c>
      <c r="C1337" s="799">
        <v>26000</v>
      </c>
      <c r="D1337" s="797" t="s">
        <v>1398</v>
      </c>
    </row>
    <row r="1338" spans="1:4" ht="36.75" customHeight="1">
      <c r="A1338" s="685"/>
      <c r="B1338" s="662" t="s">
        <v>4952</v>
      </c>
      <c r="C1338" s="662">
        <v>412.96</v>
      </c>
      <c r="D1338" s="662" t="s">
        <v>826</v>
      </c>
    </row>
    <row r="1339" spans="1:4" ht="36.75" customHeight="1">
      <c r="A1339" s="685"/>
      <c r="B1339" s="853"/>
      <c r="C1339" s="799"/>
      <c r="D1339" s="797"/>
    </row>
    <row r="1340" spans="1:4" ht="36.75" customHeight="1">
      <c r="A1340" s="685"/>
      <c r="B1340" s="853" t="s">
        <v>5154</v>
      </c>
      <c r="C1340" s="799"/>
      <c r="D1340" s="797"/>
    </row>
    <row r="1341" spans="1:4" ht="36.75" customHeight="1">
      <c r="A1341" s="685"/>
      <c r="B1341" s="662" t="s">
        <v>5125</v>
      </c>
      <c r="C1341" s="799">
        <v>10050</v>
      </c>
      <c r="D1341" s="797" t="s">
        <v>1398</v>
      </c>
    </row>
    <row r="1342" spans="1:4" ht="36.75" customHeight="1">
      <c r="A1342" s="685"/>
      <c r="B1342" s="662" t="s">
        <v>5122</v>
      </c>
      <c r="C1342" s="799">
        <v>98600</v>
      </c>
      <c r="D1342" s="797" t="s">
        <v>1398</v>
      </c>
    </row>
    <row r="1343" spans="1:4" ht="36.75" customHeight="1">
      <c r="A1343" s="685"/>
      <c r="B1343" s="662" t="s">
        <v>4787</v>
      </c>
      <c r="C1343" s="799">
        <v>10450</v>
      </c>
      <c r="D1343" s="797" t="s">
        <v>1398</v>
      </c>
    </row>
    <row r="1344" spans="1:4" ht="36.75" customHeight="1">
      <c r="A1344" s="685"/>
      <c r="B1344" s="662" t="s">
        <v>5123</v>
      </c>
      <c r="C1344" s="799">
        <v>35000</v>
      </c>
      <c r="D1344" s="797" t="s">
        <v>1398</v>
      </c>
    </row>
    <row r="1345" spans="1:4" ht="36.75" customHeight="1">
      <c r="A1345" s="685"/>
      <c r="B1345" s="662" t="s">
        <v>5124</v>
      </c>
      <c r="C1345" s="799">
        <v>284</v>
      </c>
      <c r="D1345" s="797" t="s">
        <v>826</v>
      </c>
    </row>
    <row r="1346" spans="1:4" ht="36.75" customHeight="1">
      <c r="A1346" s="685"/>
      <c r="B1346" s="662" t="s">
        <v>4985</v>
      </c>
      <c r="C1346" s="799">
        <v>3000</v>
      </c>
      <c r="D1346" s="797" t="s">
        <v>1432</v>
      </c>
    </row>
    <row r="1347" spans="1:4" ht="36.75" customHeight="1">
      <c r="A1347" s="685"/>
      <c r="B1347" s="662" t="s">
        <v>4986</v>
      </c>
      <c r="C1347" s="799">
        <v>28000</v>
      </c>
      <c r="D1347" s="797" t="s">
        <v>282</v>
      </c>
    </row>
    <row r="1348" spans="1:4" ht="36.75" customHeight="1">
      <c r="A1348" s="685"/>
      <c r="B1348" s="662" t="s">
        <v>4987</v>
      </c>
      <c r="C1348" s="799">
        <v>24000</v>
      </c>
      <c r="D1348" s="797" t="s">
        <v>282</v>
      </c>
    </row>
    <row r="1349" spans="1:4" ht="36.75" customHeight="1">
      <c r="A1349" s="685"/>
      <c r="B1349" s="662" t="s">
        <v>4988</v>
      </c>
      <c r="C1349" s="799">
        <v>23500</v>
      </c>
      <c r="D1349" s="797" t="s">
        <v>282</v>
      </c>
    </row>
    <row r="1350" spans="1:4" ht="36.75" customHeight="1">
      <c r="A1350" s="685"/>
      <c r="B1350" s="662" t="s">
        <v>4989</v>
      </c>
      <c r="C1350" s="799">
        <v>22500</v>
      </c>
      <c r="D1350" s="797" t="s">
        <v>282</v>
      </c>
    </row>
    <row r="1351" spans="1:4" ht="36.75" customHeight="1">
      <c r="A1351" s="685"/>
      <c r="B1351" s="662" t="s">
        <v>4990</v>
      </c>
      <c r="C1351" s="799">
        <v>9700</v>
      </c>
      <c r="D1351" s="797" t="s">
        <v>1432</v>
      </c>
    </row>
    <row r="1352" spans="1:4" ht="36.75" customHeight="1">
      <c r="A1352" s="685"/>
      <c r="B1352" s="662" t="s">
        <v>4991</v>
      </c>
      <c r="C1352" s="799">
        <v>15700</v>
      </c>
      <c r="D1352" s="797" t="s">
        <v>1432</v>
      </c>
    </row>
    <row r="1353" spans="1:4" ht="36.75" customHeight="1">
      <c r="A1353" s="685"/>
      <c r="B1353" s="662" t="s">
        <v>4992</v>
      </c>
      <c r="C1353" s="799">
        <v>2400</v>
      </c>
      <c r="D1353" s="797" t="s">
        <v>1432</v>
      </c>
    </row>
    <row r="1354" spans="1:4" ht="36.75" customHeight="1">
      <c r="A1354" s="685"/>
      <c r="B1354" s="662" t="s">
        <v>4993</v>
      </c>
      <c r="C1354" s="799">
        <v>80000</v>
      </c>
      <c r="D1354" s="797" t="s">
        <v>1432</v>
      </c>
    </row>
    <row r="1355" spans="1:4" ht="36.75" customHeight="1">
      <c r="A1355" s="685"/>
      <c r="B1355" s="662" t="s">
        <v>4994</v>
      </c>
      <c r="C1355" s="799">
        <v>42000</v>
      </c>
      <c r="D1355" s="797" t="s">
        <v>1432</v>
      </c>
    </row>
    <row r="1356" spans="1:4" ht="36.75" customHeight="1">
      <c r="A1356" s="685"/>
      <c r="B1356" s="662" t="s">
        <v>4995</v>
      </c>
      <c r="C1356" s="799">
        <v>39500</v>
      </c>
      <c r="D1356" s="797" t="s">
        <v>1432</v>
      </c>
    </row>
    <row r="1357" spans="1:4" ht="36.75" customHeight="1">
      <c r="A1357" s="685"/>
      <c r="B1357" s="662" t="s">
        <v>4996</v>
      </c>
      <c r="C1357" s="799">
        <v>18500</v>
      </c>
      <c r="D1357" s="797" t="s">
        <v>1432</v>
      </c>
    </row>
    <row r="1358" spans="1:4" ht="36.75" customHeight="1">
      <c r="A1358" s="685"/>
      <c r="B1358" s="662" t="s">
        <v>4997</v>
      </c>
      <c r="C1358" s="799">
        <v>200000</v>
      </c>
      <c r="D1358" s="797" t="s">
        <v>657</v>
      </c>
    </row>
    <row r="1359" spans="1:4" ht="36.75" customHeight="1">
      <c r="A1359" s="685"/>
      <c r="B1359" s="809" t="s">
        <v>5050</v>
      </c>
      <c r="C1359" s="803">
        <v>775000</v>
      </c>
      <c r="D1359" s="794" t="s">
        <v>282</v>
      </c>
    </row>
    <row r="1360" spans="1:4" ht="36.75" customHeight="1">
      <c r="A1360" s="685"/>
      <c r="B1360" s="856" t="s">
        <v>5128</v>
      </c>
      <c r="C1360" s="803"/>
      <c r="D1360" s="794"/>
    </row>
    <row r="1361" spans="1:4" ht="36.75" customHeight="1">
      <c r="A1361" s="685"/>
      <c r="B1361" s="809" t="s">
        <v>5042</v>
      </c>
      <c r="C1361" s="803">
        <v>7500</v>
      </c>
      <c r="D1361" s="794" t="s">
        <v>560</v>
      </c>
    </row>
    <row r="1362" spans="1:4" ht="36.75" customHeight="1">
      <c r="A1362" s="685"/>
      <c r="B1362" s="809" t="s">
        <v>5043</v>
      </c>
      <c r="C1362" s="803">
        <v>2800</v>
      </c>
      <c r="D1362" s="794" t="s">
        <v>560</v>
      </c>
    </row>
    <row r="1363" spans="1:4" ht="36.75" customHeight="1">
      <c r="A1363" s="685"/>
      <c r="B1363" s="809" t="s">
        <v>5044</v>
      </c>
      <c r="C1363" s="803">
        <v>27572</v>
      </c>
      <c r="D1363" s="794" t="s">
        <v>560</v>
      </c>
    </row>
    <row r="1364" spans="1:4" ht="36.75" customHeight="1">
      <c r="A1364" s="685"/>
      <c r="B1364" s="809" t="s">
        <v>5045</v>
      </c>
      <c r="C1364" s="803">
        <v>37195</v>
      </c>
      <c r="D1364" s="794" t="s">
        <v>560</v>
      </c>
    </row>
    <row r="1365" spans="1:4" ht="36.75" customHeight="1">
      <c r="A1365" s="685"/>
      <c r="B1365" s="809" t="s">
        <v>5046</v>
      </c>
      <c r="C1365" s="803">
        <v>136</v>
      </c>
      <c r="D1365" s="794" t="s">
        <v>2196</v>
      </c>
    </row>
    <row r="1366" spans="1:4" ht="36.75" customHeight="1">
      <c r="A1366" s="685"/>
      <c r="B1366" s="809" t="s">
        <v>5047</v>
      </c>
      <c r="C1366" s="803">
        <v>4105</v>
      </c>
      <c r="D1366" s="794" t="s">
        <v>5049</v>
      </c>
    </row>
    <row r="1367" spans="1:4" ht="36.75" customHeight="1">
      <c r="A1367" s="685"/>
      <c r="B1367" s="809" t="s">
        <v>5048</v>
      </c>
      <c r="C1367" s="803">
        <v>2820</v>
      </c>
      <c r="D1367" s="794" t="s">
        <v>560</v>
      </c>
    </row>
    <row r="1368" spans="1:4" ht="36.75" customHeight="1">
      <c r="A1368" s="685"/>
      <c r="B1368" s="856" t="s">
        <v>5129</v>
      </c>
      <c r="C1368" s="803"/>
      <c r="D1368" s="794"/>
    </row>
    <row r="1369" spans="1:4" ht="36.75" customHeight="1">
      <c r="A1369" s="685"/>
      <c r="B1369" s="856" t="s">
        <v>5051</v>
      </c>
      <c r="C1369" s="803"/>
      <c r="D1369" s="794"/>
    </row>
    <row r="1370" spans="1:4" ht="36.75" customHeight="1">
      <c r="A1370" s="685"/>
      <c r="B1370" s="809" t="s">
        <v>5052</v>
      </c>
      <c r="C1370" s="803">
        <v>46132</v>
      </c>
      <c r="D1370" s="803" t="s">
        <v>5058</v>
      </c>
    </row>
    <row r="1371" spans="1:4" ht="36.75" customHeight="1">
      <c r="A1371" s="685"/>
      <c r="B1371" s="809" t="s">
        <v>5053</v>
      </c>
      <c r="C1371" s="803">
        <v>34959</v>
      </c>
      <c r="D1371" s="803" t="s">
        <v>5059</v>
      </c>
    </row>
    <row r="1372" spans="1:4" ht="36.75" customHeight="1">
      <c r="A1372" s="685"/>
      <c r="B1372" s="809" t="s">
        <v>5054</v>
      </c>
      <c r="C1372" s="803">
        <v>1900</v>
      </c>
      <c r="D1372" s="803" t="s">
        <v>560</v>
      </c>
    </row>
    <row r="1373" spans="1:4" ht="36.75" customHeight="1">
      <c r="A1373" s="685"/>
      <c r="B1373" s="809" t="s">
        <v>5055</v>
      </c>
      <c r="C1373" s="803">
        <v>8939</v>
      </c>
      <c r="D1373" s="803" t="s">
        <v>560</v>
      </c>
    </row>
    <row r="1374" spans="1:4" ht="36.75" customHeight="1">
      <c r="A1374" s="685"/>
      <c r="B1374" s="809" t="s">
        <v>5056</v>
      </c>
      <c r="C1374" s="803">
        <v>26856</v>
      </c>
      <c r="D1374" s="803" t="s">
        <v>282</v>
      </c>
    </row>
    <row r="1375" spans="1:4" ht="36.75" customHeight="1">
      <c r="A1375" s="685"/>
      <c r="B1375" s="856" t="s">
        <v>5130</v>
      </c>
      <c r="C1375" s="803"/>
      <c r="D1375" s="803"/>
    </row>
    <row r="1376" spans="1:4" ht="36.75" customHeight="1">
      <c r="A1376" s="685"/>
      <c r="B1376" s="809" t="s">
        <v>5057</v>
      </c>
      <c r="C1376" s="803">
        <v>101</v>
      </c>
      <c r="D1376" s="803" t="s">
        <v>2196</v>
      </c>
    </row>
    <row r="1377" spans="1:4" ht="36.75" customHeight="1">
      <c r="A1377" s="685"/>
      <c r="B1377" s="856" t="s">
        <v>5063</v>
      </c>
      <c r="C1377" s="803"/>
      <c r="D1377" s="803"/>
    </row>
    <row r="1378" spans="1:4" ht="36.75" customHeight="1">
      <c r="A1378" s="685"/>
      <c r="B1378" s="809" t="s">
        <v>5060</v>
      </c>
      <c r="C1378" s="803">
        <v>85000</v>
      </c>
      <c r="D1378" s="803" t="s">
        <v>1398</v>
      </c>
    </row>
    <row r="1379" spans="1:4" ht="36.75" customHeight="1">
      <c r="A1379" s="685"/>
      <c r="B1379" s="809" t="s">
        <v>5061</v>
      </c>
      <c r="C1379" s="803">
        <v>15000</v>
      </c>
      <c r="D1379" s="803" t="s">
        <v>1398</v>
      </c>
    </row>
    <row r="1380" spans="1:4" ht="36.75" customHeight="1">
      <c r="A1380" s="685"/>
      <c r="B1380" s="809" t="s">
        <v>5062</v>
      </c>
      <c r="C1380" s="803">
        <v>555</v>
      </c>
      <c r="D1380" s="803" t="s">
        <v>826</v>
      </c>
    </row>
    <row r="1381" spans="1:4" ht="36.75" customHeight="1">
      <c r="A1381" s="685"/>
      <c r="B1381" s="809" t="s">
        <v>5064</v>
      </c>
      <c r="C1381" s="803">
        <v>5500</v>
      </c>
      <c r="D1381" s="803" t="s">
        <v>1432</v>
      </c>
    </row>
    <row r="1382" spans="1:4" ht="36.75" customHeight="1">
      <c r="A1382" s="685"/>
      <c r="B1382" s="809" t="s">
        <v>5065</v>
      </c>
      <c r="C1382" s="803">
        <v>5000</v>
      </c>
      <c r="D1382" s="803" t="s">
        <v>1398</v>
      </c>
    </row>
    <row r="1383" spans="1:4" ht="36.75" customHeight="1">
      <c r="A1383" s="685"/>
      <c r="B1383" s="809" t="s">
        <v>5066</v>
      </c>
      <c r="C1383" s="803">
        <v>1200</v>
      </c>
      <c r="D1383" s="803" t="s">
        <v>826</v>
      </c>
    </row>
    <row r="1384" spans="1:4" ht="36.75" customHeight="1">
      <c r="A1384" s="685"/>
      <c r="B1384" s="809" t="s">
        <v>5067</v>
      </c>
      <c r="C1384" s="803">
        <v>12800</v>
      </c>
      <c r="D1384" s="803" t="s">
        <v>1398</v>
      </c>
    </row>
    <row r="1385" spans="1:4" ht="36.75" customHeight="1">
      <c r="A1385" s="685"/>
      <c r="B1385" s="809" t="s">
        <v>5068</v>
      </c>
      <c r="C1385" s="803">
        <v>12000</v>
      </c>
      <c r="D1385" s="803" t="s">
        <v>282</v>
      </c>
    </row>
    <row r="1386" spans="1:4" ht="36.75" customHeight="1">
      <c r="A1386" s="685"/>
      <c r="B1386" s="809" t="s">
        <v>5069</v>
      </c>
      <c r="C1386" s="803">
        <v>7000</v>
      </c>
      <c r="D1386" s="803" t="s">
        <v>282</v>
      </c>
    </row>
    <row r="1387" spans="1:4" ht="36.75" customHeight="1">
      <c r="A1387" s="685"/>
      <c r="B1387" s="809" t="s">
        <v>5070</v>
      </c>
      <c r="C1387" s="803">
        <v>1200</v>
      </c>
      <c r="D1387" s="803" t="s">
        <v>1398</v>
      </c>
    </row>
    <row r="1388" spans="1:4" ht="36.75" customHeight="1">
      <c r="A1388" s="685"/>
      <c r="B1388" s="809" t="s">
        <v>5071</v>
      </c>
      <c r="C1388" s="803">
        <v>4500</v>
      </c>
      <c r="D1388" s="803" t="s">
        <v>1398</v>
      </c>
    </row>
    <row r="1389" spans="1:4" ht="36.75" customHeight="1">
      <c r="A1389" s="685"/>
      <c r="B1389" s="809" t="s">
        <v>5072</v>
      </c>
      <c r="C1389" s="803">
        <v>77000</v>
      </c>
      <c r="D1389" s="803" t="s">
        <v>1432</v>
      </c>
    </row>
    <row r="1390" spans="1:4" ht="36.75" customHeight="1">
      <c r="A1390" s="685"/>
      <c r="B1390" s="809" t="s">
        <v>5073</v>
      </c>
      <c r="C1390" s="803">
        <v>1700</v>
      </c>
      <c r="D1390" s="803" t="s">
        <v>1432</v>
      </c>
    </row>
    <row r="1391" spans="1:4" ht="36.75" customHeight="1">
      <c r="A1391" s="685"/>
      <c r="B1391" s="809" t="s">
        <v>5074</v>
      </c>
      <c r="C1391" s="803">
        <v>1800</v>
      </c>
      <c r="D1391" s="803" t="s">
        <v>1432</v>
      </c>
    </row>
    <row r="1392" spans="1:4" ht="36.75" customHeight="1">
      <c r="A1392" s="685"/>
      <c r="B1392" s="809" t="s">
        <v>5075</v>
      </c>
      <c r="C1392" s="803">
        <v>160</v>
      </c>
      <c r="D1392" s="803" t="s">
        <v>826</v>
      </c>
    </row>
    <row r="1393" spans="1:4" ht="36.75" customHeight="1">
      <c r="A1393" s="685"/>
      <c r="B1393" s="809" t="s">
        <v>5076</v>
      </c>
      <c r="C1393" s="803">
        <v>2100</v>
      </c>
      <c r="D1393" s="803" t="s">
        <v>1432</v>
      </c>
    </row>
    <row r="1394" spans="1:4" ht="36.75" customHeight="1">
      <c r="A1394" s="685"/>
      <c r="B1394" s="809" t="s">
        <v>5077</v>
      </c>
      <c r="C1394" s="803">
        <v>5000</v>
      </c>
      <c r="D1394" s="803" t="s">
        <v>1432</v>
      </c>
    </row>
    <row r="1395" spans="1:4" ht="36.75" customHeight="1">
      <c r="A1395" s="685"/>
      <c r="B1395" s="856" t="s">
        <v>5094</v>
      </c>
      <c r="C1395" s="803"/>
      <c r="D1395" s="803"/>
    </row>
    <row r="1396" spans="1:4" ht="36.75" customHeight="1">
      <c r="A1396" s="685"/>
      <c r="B1396" s="809" t="s">
        <v>5095</v>
      </c>
      <c r="C1396" s="803">
        <v>73120</v>
      </c>
      <c r="D1396" s="803" t="s">
        <v>1432</v>
      </c>
    </row>
    <row r="1397" spans="1:4" ht="36.75" customHeight="1">
      <c r="A1397" s="685"/>
      <c r="B1397" s="809" t="s">
        <v>5096</v>
      </c>
      <c r="C1397" s="803">
        <v>20000</v>
      </c>
      <c r="D1397" s="803" t="s">
        <v>1432</v>
      </c>
    </row>
    <row r="1398" spans="1:4" ht="36.75" customHeight="1">
      <c r="A1398" s="685"/>
      <c r="B1398" s="809" t="s">
        <v>5097</v>
      </c>
      <c r="C1398" s="803">
        <v>24000</v>
      </c>
      <c r="D1398" s="803" t="s">
        <v>1432</v>
      </c>
    </row>
    <row r="1399" spans="1:4" ht="36.75" customHeight="1">
      <c r="A1399" s="685"/>
      <c r="B1399" s="809" t="s">
        <v>5098</v>
      </c>
      <c r="C1399" s="803">
        <v>700</v>
      </c>
      <c r="D1399" s="803" t="s">
        <v>826</v>
      </c>
    </row>
    <row r="1400" spans="1:4" ht="36.75" customHeight="1">
      <c r="A1400" s="685"/>
      <c r="B1400" s="856" t="s">
        <v>5139</v>
      </c>
      <c r="C1400" s="803"/>
      <c r="D1400" s="803"/>
    </row>
    <row r="1401" spans="1:4" ht="36.75" customHeight="1">
      <c r="A1401" s="685"/>
      <c r="B1401" s="809" t="s">
        <v>5140</v>
      </c>
      <c r="C1401" s="803">
        <v>15000</v>
      </c>
      <c r="D1401" s="803" t="s">
        <v>1432</v>
      </c>
    </row>
    <row r="1402" spans="1:4" ht="36.75" customHeight="1">
      <c r="A1402" s="685"/>
      <c r="B1402" s="809" t="s">
        <v>5141</v>
      </c>
      <c r="C1402" s="803">
        <v>47000</v>
      </c>
      <c r="D1402" s="803" t="s">
        <v>1432</v>
      </c>
    </row>
    <row r="1403" spans="1:4" ht="36.75" customHeight="1">
      <c r="A1403" s="685"/>
      <c r="B1403" s="809" t="s">
        <v>5142</v>
      </c>
      <c r="C1403" s="803">
        <v>70000</v>
      </c>
      <c r="D1403" s="803" t="s">
        <v>1432</v>
      </c>
    </row>
    <row r="1404" spans="1:4" ht="36.75" customHeight="1">
      <c r="A1404" s="685"/>
      <c r="B1404" s="809" t="s">
        <v>5143</v>
      </c>
      <c r="C1404" s="803">
        <v>12900</v>
      </c>
      <c r="D1404" s="803" t="s">
        <v>1432</v>
      </c>
    </row>
    <row r="1405" spans="1:4" ht="36.75" customHeight="1">
      <c r="A1405" s="685"/>
      <c r="B1405" s="809" t="s">
        <v>5144</v>
      </c>
      <c r="C1405" s="803">
        <v>85000</v>
      </c>
      <c r="D1405" s="803" t="s">
        <v>282</v>
      </c>
    </row>
    <row r="1406" spans="1:4" ht="36.75" customHeight="1">
      <c r="A1406" s="685"/>
      <c r="B1406" s="809" t="s">
        <v>5145</v>
      </c>
      <c r="C1406" s="803">
        <v>95000</v>
      </c>
      <c r="D1406" s="803" t="s">
        <v>282</v>
      </c>
    </row>
    <row r="1407" spans="1:4" ht="36.75" customHeight="1">
      <c r="A1407" s="685"/>
      <c r="B1407" s="809" t="s">
        <v>5146</v>
      </c>
      <c r="C1407" s="803">
        <v>12000</v>
      </c>
      <c r="D1407" s="803" t="s">
        <v>1432</v>
      </c>
    </row>
    <row r="1408" spans="1:4" ht="36.75" customHeight="1">
      <c r="A1408" s="685"/>
      <c r="B1408" s="809" t="s">
        <v>5147</v>
      </c>
      <c r="C1408" s="803">
        <v>20000</v>
      </c>
      <c r="D1408" s="803" t="s">
        <v>1432</v>
      </c>
    </row>
    <row r="1409" spans="1:4" ht="36.75" customHeight="1">
      <c r="A1409" s="685"/>
      <c r="B1409" s="809" t="s">
        <v>5148</v>
      </c>
      <c r="C1409" s="803">
        <v>90000</v>
      </c>
      <c r="D1409" s="803" t="s">
        <v>282</v>
      </c>
    </row>
    <row r="1410" spans="1:4" ht="36.75" customHeight="1">
      <c r="A1410" s="685"/>
      <c r="B1410" s="809" t="s">
        <v>5149</v>
      </c>
      <c r="C1410" s="803">
        <v>10000</v>
      </c>
      <c r="D1410" s="803" t="s">
        <v>4843</v>
      </c>
    </row>
    <row r="1411" spans="1:4" ht="36.75" customHeight="1">
      <c r="A1411" s="685"/>
      <c r="B1411" s="809" t="s">
        <v>5150</v>
      </c>
      <c r="C1411" s="803">
        <v>75000</v>
      </c>
      <c r="D1411" s="803" t="s">
        <v>282</v>
      </c>
    </row>
    <row r="1412" spans="1:4" ht="36.75" customHeight="1">
      <c r="A1412" s="685"/>
      <c r="B1412" s="809" t="s">
        <v>5151</v>
      </c>
      <c r="C1412" s="803">
        <v>95000</v>
      </c>
      <c r="D1412" s="803" t="s">
        <v>282</v>
      </c>
    </row>
    <row r="1413" spans="1:4" ht="36.75" customHeight="1">
      <c r="A1413" s="685"/>
      <c r="B1413" s="809" t="s">
        <v>5152</v>
      </c>
      <c r="C1413" s="803">
        <v>24000</v>
      </c>
      <c r="D1413" s="803" t="s">
        <v>1432</v>
      </c>
    </row>
    <row r="1414" spans="1:4" ht="36.75" customHeight="1">
      <c r="A1414" s="685"/>
      <c r="B1414" s="809" t="s">
        <v>5153</v>
      </c>
      <c r="C1414" s="803">
        <v>75000</v>
      </c>
      <c r="D1414" s="803" t="s">
        <v>1030</v>
      </c>
    </row>
    <row r="1415" spans="1:4" ht="36.75" customHeight="1">
      <c r="A1415" s="669"/>
      <c r="B1415" s="673" t="s">
        <v>2245</v>
      </c>
      <c r="C1415" s="661">
        <f>ROUND(Data!K1206,2)</f>
        <v>0</v>
      </c>
      <c r="D1415" s="652"/>
    </row>
    <row r="1416" spans="1:4" ht="36.75" customHeight="1">
      <c r="A1416" s="669"/>
      <c r="B1416" s="862"/>
      <c r="C1416" s="863"/>
      <c r="D1416" s="759"/>
    </row>
    <row r="1417" spans="1:4" ht="36.75" customHeight="1">
      <c r="A1417" s="669"/>
      <c r="B1417" s="650" t="s">
        <v>2050</v>
      </c>
      <c r="C1417" s="863"/>
      <c r="D1417" s="652" t="s">
        <v>1398</v>
      </c>
    </row>
    <row r="1418" spans="1:4" ht="36.75" customHeight="1">
      <c r="A1418" s="864"/>
      <c r="B1418" s="865" t="s">
        <v>598</v>
      </c>
      <c r="C1418" s="866"/>
      <c r="D1418" s="867" t="s">
        <v>1398</v>
      </c>
    </row>
    <row r="1419" spans="1:4" ht="36.75" customHeight="1">
      <c r="A1419" s="663"/>
      <c r="B1419" s="869" t="s">
        <v>599</v>
      </c>
      <c r="C1419" s="870">
        <f>Data!K2492</f>
        <v>4881.1899999999996</v>
      </c>
      <c r="D1419" s="871" t="s">
        <v>2283</v>
      </c>
    </row>
    <row r="1420" spans="1:4" ht="36.75" customHeight="1">
      <c r="A1420" s="663"/>
      <c r="B1420" s="869" t="s">
        <v>1900</v>
      </c>
      <c r="C1420" s="870">
        <f>Data!K2515</f>
        <v>5175.3599999999997</v>
      </c>
      <c r="D1420" s="871" t="s">
        <v>2283</v>
      </c>
    </row>
    <row r="1421" spans="1:4" ht="36.75" customHeight="1">
      <c r="A1421" s="663"/>
      <c r="B1421" s="869" t="s">
        <v>2206</v>
      </c>
      <c r="C1421" s="870">
        <f>Data!R2580</f>
        <v>4457.7700000000004</v>
      </c>
      <c r="D1421" s="871" t="s">
        <v>2283</v>
      </c>
    </row>
    <row r="1422" spans="1:4" ht="36.75" customHeight="1">
      <c r="A1422" s="663"/>
      <c r="B1422" s="869" t="s">
        <v>2207</v>
      </c>
      <c r="C1422" s="870"/>
      <c r="D1422" s="871" t="s">
        <v>2283</v>
      </c>
    </row>
    <row r="1423" spans="1:4" ht="36.75" customHeight="1">
      <c r="A1423" s="663"/>
      <c r="B1423" s="869" t="s">
        <v>2832</v>
      </c>
      <c r="C1423" s="870"/>
      <c r="D1423" s="871" t="s">
        <v>2283</v>
      </c>
    </row>
    <row r="1424" spans="1:4" ht="36.75" customHeight="1">
      <c r="A1424" s="663"/>
      <c r="B1424" s="869" t="s">
        <v>677</v>
      </c>
      <c r="C1424" s="870"/>
      <c r="D1424" s="871" t="s">
        <v>2283</v>
      </c>
    </row>
    <row r="1425" spans="1:4" ht="36.75" customHeight="1">
      <c r="A1425" s="663"/>
      <c r="B1425" s="869" t="s">
        <v>679</v>
      </c>
      <c r="C1425" s="870"/>
      <c r="D1425" s="871" t="s">
        <v>2283</v>
      </c>
    </row>
    <row r="1426" spans="1:4" ht="36.75" customHeight="1">
      <c r="A1426" s="663"/>
      <c r="B1426" s="869" t="s">
        <v>600</v>
      </c>
      <c r="C1426" s="870">
        <f>Data!L1794</f>
        <v>0</v>
      </c>
      <c r="D1426" s="871" t="s">
        <v>1398</v>
      </c>
    </row>
    <row r="1427" spans="1:4" ht="36.75" customHeight="1">
      <c r="A1427" s="663"/>
      <c r="B1427" s="869" t="s">
        <v>2463</v>
      </c>
      <c r="C1427" s="870">
        <f>Data!K2435</f>
        <v>1479.42</v>
      </c>
      <c r="D1427" s="871" t="s">
        <v>2283</v>
      </c>
    </row>
    <row r="1428" spans="1:4" ht="36.75" customHeight="1">
      <c r="A1428" s="663"/>
      <c r="B1428" s="869" t="s">
        <v>601</v>
      </c>
      <c r="C1428" s="870">
        <f>Data!R1230</f>
        <v>1483.94</v>
      </c>
      <c r="D1428" s="871" t="s">
        <v>2283</v>
      </c>
    </row>
    <row r="1429" spans="1:4" ht="36.75" customHeight="1">
      <c r="A1429" s="663"/>
      <c r="B1429" s="869" t="s">
        <v>5455</v>
      </c>
      <c r="C1429" s="870">
        <f>Data!R1272</f>
        <v>1254.01</v>
      </c>
      <c r="D1429" s="871" t="s">
        <v>2283</v>
      </c>
    </row>
    <row r="1430" spans="1:4" ht="36.75" customHeight="1">
      <c r="A1430" s="663"/>
      <c r="B1430" s="869" t="s">
        <v>1169</v>
      </c>
      <c r="C1430" s="870">
        <f>Data!R2442</f>
        <v>1653.72</v>
      </c>
      <c r="D1430" s="871" t="s">
        <v>2283</v>
      </c>
    </row>
    <row r="1431" spans="1:4" ht="36.75" customHeight="1">
      <c r="A1431" s="663"/>
      <c r="B1431" s="869" t="s">
        <v>3076</v>
      </c>
      <c r="C1431" s="870">
        <f>Data!AD1257</f>
        <v>1625.71</v>
      </c>
      <c r="D1431" s="871" t="s">
        <v>2283</v>
      </c>
    </row>
    <row r="1432" spans="1:4" ht="36.75" customHeight="1">
      <c r="A1432" s="663"/>
      <c r="B1432" s="663" t="s">
        <v>2204</v>
      </c>
      <c r="C1432" s="870">
        <f>Data!K1442</f>
        <v>276.82</v>
      </c>
      <c r="D1432" s="871" t="s">
        <v>2283</v>
      </c>
    </row>
    <row r="1433" spans="1:4" ht="36.75" customHeight="1">
      <c r="A1433" s="663"/>
      <c r="B1433" s="663" t="s">
        <v>2205</v>
      </c>
      <c r="C1433" s="870">
        <f>5000*8.2</f>
        <v>41000</v>
      </c>
      <c r="D1433" s="871" t="s">
        <v>1398</v>
      </c>
    </row>
    <row r="1434" spans="1:4" ht="36.75" customHeight="1">
      <c r="A1434" s="663"/>
      <c r="B1434" s="663" t="str">
        <f>Data!O2626</f>
        <v>T.W DOOR SHUTTER TWO LEAVES(1200 X 2100 mm ) with Brass Fittings</v>
      </c>
      <c r="C1434" s="870">
        <f>Data!R2654</f>
        <v>7153.15</v>
      </c>
      <c r="D1434" s="871" t="s">
        <v>2283</v>
      </c>
    </row>
    <row r="1435" spans="1:4" ht="36.75" customHeight="1">
      <c r="A1435" s="663"/>
      <c r="B1435" s="663" t="s">
        <v>1741</v>
      </c>
      <c r="C1435" s="870">
        <f>Data!R1124</f>
        <v>5284.06</v>
      </c>
      <c r="D1435" s="871" t="s">
        <v>2283</v>
      </c>
    </row>
    <row r="1436" spans="1:4" ht="36.75" customHeight="1">
      <c r="A1436" s="663"/>
      <c r="B1436" s="663" t="s">
        <v>3317</v>
      </c>
      <c r="C1436" s="870">
        <f>Data!R3204</f>
        <v>0</v>
      </c>
      <c r="D1436" s="871" t="s">
        <v>2283</v>
      </c>
    </row>
    <row r="1437" spans="1:4" ht="36.75" customHeight="1">
      <c r="A1437" s="663"/>
      <c r="B1437" s="663" t="s">
        <v>3318</v>
      </c>
      <c r="C1437" s="870">
        <f>Data!R3272</f>
        <v>6427.34</v>
      </c>
      <c r="D1437" s="871" t="s">
        <v>2283</v>
      </c>
    </row>
    <row r="1438" spans="1:4" ht="36.75" customHeight="1">
      <c r="A1438" s="663"/>
      <c r="B1438" s="663" t="s">
        <v>3319</v>
      </c>
      <c r="C1438" s="870" t="str">
        <f>Data!K3332</f>
        <v>============</v>
      </c>
      <c r="D1438" s="871" t="s">
        <v>2283</v>
      </c>
    </row>
    <row r="1439" spans="1:4" ht="36.75" customHeight="1">
      <c r="A1439" s="663"/>
      <c r="B1439" s="872" t="s">
        <v>6307</v>
      </c>
      <c r="C1439" s="870">
        <f>Data!R3339</f>
        <v>3804.6</v>
      </c>
      <c r="D1439" s="871" t="s">
        <v>2283</v>
      </c>
    </row>
    <row r="1440" spans="1:4" ht="36.75" customHeight="1">
      <c r="A1440" s="663"/>
      <c r="B1440" s="872" t="s">
        <v>6308</v>
      </c>
      <c r="C1440" s="870">
        <f>Data!R3452</f>
        <v>4665.28</v>
      </c>
      <c r="D1440" s="871" t="s">
        <v>2283</v>
      </c>
    </row>
    <row r="1441" spans="1:4" ht="36.75" customHeight="1">
      <c r="A1441" s="663"/>
      <c r="B1441" s="869" t="s">
        <v>3953</v>
      </c>
      <c r="C1441" s="870">
        <f>Data!K3434</f>
        <v>5266.65</v>
      </c>
      <c r="D1441" s="871" t="s">
        <v>2283</v>
      </c>
    </row>
    <row r="1442" spans="1:4" ht="36.75" customHeight="1">
      <c r="A1442" s="663"/>
      <c r="B1442" s="663" t="s">
        <v>3320</v>
      </c>
      <c r="C1442" s="870">
        <f>Data!R3374</f>
        <v>4323.9799999999996</v>
      </c>
      <c r="D1442" s="871" t="s">
        <v>2283</v>
      </c>
    </row>
    <row r="1443" spans="1:4" ht="36.75" customHeight="1">
      <c r="A1443" s="663"/>
      <c r="B1443" s="663" t="s">
        <v>3321</v>
      </c>
      <c r="C1443" s="870" t="str">
        <f>Data!R3409</f>
        <v>=</v>
      </c>
      <c r="D1443" s="871" t="s">
        <v>2283</v>
      </c>
    </row>
    <row r="1444" spans="1:4" ht="36.75" customHeight="1">
      <c r="A1444" s="663"/>
      <c r="B1444" s="663" t="s">
        <v>3322</v>
      </c>
      <c r="C1444" s="870">
        <f>Data!R3306</f>
        <v>0</v>
      </c>
      <c r="D1444" s="871" t="s">
        <v>2283</v>
      </c>
    </row>
    <row r="1445" spans="1:4" ht="36.75" customHeight="1">
      <c r="A1445" s="663"/>
      <c r="B1445" s="663" t="s">
        <v>3323</v>
      </c>
      <c r="C1445" s="870">
        <f>Data!R3340</f>
        <v>0</v>
      </c>
      <c r="D1445" s="871" t="s">
        <v>2283</v>
      </c>
    </row>
    <row r="1446" spans="1:4" ht="36.75" customHeight="1">
      <c r="A1446" s="663"/>
      <c r="B1446" s="663" t="s">
        <v>3068</v>
      </c>
      <c r="C1446" s="870">
        <f>Elec.Data!K650</f>
        <v>1345.34</v>
      </c>
      <c r="D1446" s="871" t="s">
        <v>1398</v>
      </c>
    </row>
    <row r="1447" spans="1:4" ht="36.75" customHeight="1">
      <c r="A1447" s="663"/>
      <c r="B1447" s="663" t="s">
        <v>3069</v>
      </c>
      <c r="C1447" s="870">
        <f>Elec.Data!K716</f>
        <v>165</v>
      </c>
      <c r="D1447" s="871" t="s">
        <v>826</v>
      </c>
    </row>
    <row r="1448" spans="1:4" ht="36.75" customHeight="1">
      <c r="A1448" s="663"/>
      <c r="B1448" s="873" t="s">
        <v>2496</v>
      </c>
      <c r="C1448" s="870">
        <f>Elec.Data!K637</f>
        <v>3091.3</v>
      </c>
      <c r="D1448" s="871" t="s">
        <v>1398</v>
      </c>
    </row>
    <row r="1449" spans="1:4" ht="36.75" customHeight="1">
      <c r="A1449" s="663"/>
      <c r="B1449" s="663" t="s">
        <v>3072</v>
      </c>
      <c r="C1449" s="870">
        <f>Data!K2982</f>
        <v>0</v>
      </c>
      <c r="D1449" s="871" t="s">
        <v>2283</v>
      </c>
    </row>
    <row r="1450" spans="1:4" ht="36.75" customHeight="1">
      <c r="A1450" s="663"/>
      <c r="B1450" s="663" t="s">
        <v>3070</v>
      </c>
      <c r="C1450" s="870">
        <f>Data!K2845</f>
        <v>2592.73</v>
      </c>
      <c r="D1450" s="871" t="s">
        <v>2283</v>
      </c>
    </row>
    <row r="1451" spans="1:4" ht="36.75" customHeight="1">
      <c r="A1451" s="663"/>
      <c r="B1451" s="663" t="s">
        <v>3071</v>
      </c>
      <c r="C1451" s="870">
        <f>Data!R2988</f>
        <v>2513.36</v>
      </c>
      <c r="D1451" s="871" t="s">
        <v>2283</v>
      </c>
    </row>
    <row r="1452" spans="1:4" ht="36.75" customHeight="1">
      <c r="A1452" s="663"/>
      <c r="B1452" s="663" t="s">
        <v>3073</v>
      </c>
      <c r="C1452" s="870">
        <f>Data!K3085</f>
        <v>2641.13</v>
      </c>
      <c r="D1452" s="871" t="s">
        <v>2283</v>
      </c>
    </row>
    <row r="1453" spans="1:4" ht="36.75" customHeight="1">
      <c r="A1453" s="663"/>
      <c r="B1453" s="663" t="s">
        <v>3074</v>
      </c>
      <c r="C1453" s="870">
        <f>Data!K3066</f>
        <v>2773.63</v>
      </c>
      <c r="D1453" s="871" t="s">
        <v>2283</v>
      </c>
    </row>
    <row r="1454" spans="1:4" ht="36.75" customHeight="1">
      <c r="A1454" s="663"/>
      <c r="B1454" s="663" t="s">
        <v>3075</v>
      </c>
      <c r="C1454" s="870">
        <f>Data!R3073</f>
        <v>2582.0100000000002</v>
      </c>
      <c r="D1454" s="871" t="s">
        <v>2283</v>
      </c>
    </row>
    <row r="1455" spans="1:4" ht="36.75" customHeight="1">
      <c r="A1455" s="663"/>
      <c r="B1455" s="868" t="s">
        <v>565</v>
      </c>
      <c r="C1455" s="870">
        <f>Data!K2877</f>
        <v>1921.32</v>
      </c>
      <c r="D1455" s="871" t="s">
        <v>2283</v>
      </c>
    </row>
    <row r="1456" spans="1:4" ht="36.75" customHeight="1">
      <c r="A1456" s="663"/>
      <c r="B1456" s="663" t="s">
        <v>2839</v>
      </c>
      <c r="C1456" s="870">
        <f>Data!K1154</f>
        <v>123.92</v>
      </c>
      <c r="D1456" s="871"/>
    </row>
    <row r="1457" spans="1:4" ht="36.75" customHeight="1">
      <c r="A1457" s="663"/>
      <c r="B1457" s="663" t="s">
        <v>2840</v>
      </c>
      <c r="C1457" s="870">
        <f>Data!K1167</f>
        <v>194.22</v>
      </c>
      <c r="D1457" s="871"/>
    </row>
    <row r="1458" spans="1:4" ht="36.75" customHeight="1">
      <c r="A1458" s="663"/>
      <c r="B1458" s="663" t="s">
        <v>1675</v>
      </c>
      <c r="C1458" s="870">
        <f>Data!K2448</f>
        <v>764.62</v>
      </c>
      <c r="D1458" s="871"/>
    </row>
    <row r="1459" spans="1:4" ht="36.75" customHeight="1">
      <c r="A1459" s="663"/>
      <c r="B1459" s="663" t="s">
        <v>1676</v>
      </c>
      <c r="C1459" s="870">
        <f>Data!K2798</f>
        <v>1693.82</v>
      </c>
      <c r="D1459" s="871"/>
    </row>
    <row r="1460" spans="1:4" ht="36.75" customHeight="1">
      <c r="A1460" s="663"/>
      <c r="B1460" s="868" t="s">
        <v>6309</v>
      </c>
      <c r="C1460" s="870">
        <f>Elec.Data!K180</f>
        <v>2743.5</v>
      </c>
      <c r="D1460" s="871"/>
    </row>
    <row r="1461" spans="1:4" ht="36.75" customHeight="1">
      <c r="A1461" s="663"/>
      <c r="B1461" s="868" t="s">
        <v>6310</v>
      </c>
      <c r="C1461" s="870">
        <f>Elec.Data!K192</f>
        <v>2743.5</v>
      </c>
      <c r="D1461" s="871"/>
    </row>
    <row r="1462" spans="1:4" ht="36.75" customHeight="1">
      <c r="A1462" s="663"/>
      <c r="B1462" s="868" t="s">
        <v>6311</v>
      </c>
      <c r="C1462" s="870">
        <f>Elec.Data!K213</f>
        <v>2815.5</v>
      </c>
      <c r="D1462" s="871"/>
    </row>
    <row r="1463" spans="1:4" ht="36.75" customHeight="1">
      <c r="A1463" s="663"/>
      <c r="B1463" s="868" t="s">
        <v>6312</v>
      </c>
      <c r="C1463" s="870">
        <f>Elec.Data!K232</f>
        <v>5167</v>
      </c>
      <c r="D1463" s="871"/>
    </row>
    <row r="1464" spans="1:4" ht="36.75" customHeight="1">
      <c r="A1464" s="663"/>
      <c r="B1464" s="868" t="s">
        <v>2396</v>
      </c>
      <c r="C1464" s="870">
        <f>Elec.Data!K261</f>
        <v>232.9</v>
      </c>
      <c r="D1464" s="871"/>
    </row>
    <row r="1465" spans="1:4" ht="36.75" customHeight="1">
      <c r="A1465" s="663"/>
      <c r="B1465" s="868" t="s">
        <v>2946</v>
      </c>
      <c r="C1465" s="870">
        <f>Elec.Data!K274</f>
        <v>272.89999999999998</v>
      </c>
      <c r="D1465" s="871"/>
    </row>
    <row r="1466" spans="1:4" ht="36.75" customHeight="1">
      <c r="A1466" s="663"/>
      <c r="B1466" s="868" t="s">
        <v>2336</v>
      </c>
      <c r="C1466" s="870">
        <f>Elec.Data!K288</f>
        <v>407.08</v>
      </c>
      <c r="D1466" s="871"/>
    </row>
    <row r="1467" spans="1:4" ht="36.75" customHeight="1">
      <c r="A1467" s="663"/>
      <c r="B1467" s="868" t="s">
        <v>2757</v>
      </c>
      <c r="C1467" s="870">
        <f>Elec.Data!K342</f>
        <v>1372.85</v>
      </c>
      <c r="D1467" s="871"/>
    </row>
    <row r="1468" spans="1:4" ht="36.75" customHeight="1">
      <c r="A1468" s="663"/>
      <c r="B1468" s="868" t="s">
        <v>2406</v>
      </c>
      <c r="C1468" s="870">
        <f>Elec.Data!K353</f>
        <v>1062.8499999999999</v>
      </c>
      <c r="D1468" s="871"/>
    </row>
    <row r="1469" spans="1:4" ht="36.75" customHeight="1">
      <c r="A1469" s="663"/>
      <c r="B1469" s="868" t="s">
        <v>3415</v>
      </c>
      <c r="C1469" s="870">
        <f>Elec.Data!K364</f>
        <v>1768.94</v>
      </c>
      <c r="D1469" s="871"/>
    </row>
    <row r="1470" spans="1:4" ht="36.75" customHeight="1">
      <c r="A1470" s="663"/>
      <c r="B1470" s="868" t="s">
        <v>2290</v>
      </c>
      <c r="C1470" s="870">
        <f>Elec.Data!K379</f>
        <v>2195.34</v>
      </c>
      <c r="D1470" s="871"/>
    </row>
    <row r="1471" spans="1:4" ht="36.75" customHeight="1">
      <c r="A1471" s="663"/>
      <c r="B1471" s="868" t="s">
        <v>2582</v>
      </c>
      <c r="C1471" s="870">
        <f>Elec.Data!K402</f>
        <v>4248.34</v>
      </c>
      <c r="D1471" s="871"/>
    </row>
    <row r="1472" spans="1:4" ht="36.75" customHeight="1">
      <c r="A1472" s="663"/>
      <c r="B1472" s="868" t="s">
        <v>3123</v>
      </c>
      <c r="C1472" s="870">
        <f>Elec.Data!K390</f>
        <v>3466.34</v>
      </c>
      <c r="D1472" s="871"/>
    </row>
    <row r="1473" spans="1:4" ht="36.75" customHeight="1">
      <c r="A1473" s="663"/>
      <c r="B1473" s="868" t="s">
        <v>3338</v>
      </c>
      <c r="C1473" s="870">
        <f>Elec.Data!K414</f>
        <v>0</v>
      </c>
      <c r="D1473" s="871"/>
    </row>
    <row r="1474" spans="1:4" ht="36.75" customHeight="1">
      <c r="A1474" s="663"/>
      <c r="B1474" s="868" t="s">
        <v>3357</v>
      </c>
      <c r="C1474" s="870">
        <f>Elec.Data!K432</f>
        <v>0</v>
      </c>
      <c r="D1474" s="871"/>
    </row>
    <row r="1475" spans="1:4" ht="36.75" customHeight="1">
      <c r="A1475" s="663"/>
      <c r="B1475" s="868" t="s">
        <v>2292</v>
      </c>
      <c r="C1475" s="870">
        <f>Elec.Data!K503</f>
        <v>0</v>
      </c>
      <c r="D1475" s="871"/>
    </row>
    <row r="1476" spans="1:4" ht="36.75" customHeight="1">
      <c r="A1476" s="663"/>
      <c r="B1476" s="868" t="s">
        <v>2293</v>
      </c>
      <c r="C1476" s="870">
        <f>Elec.Data!K518</f>
        <v>0</v>
      </c>
      <c r="D1476" s="871"/>
    </row>
    <row r="1477" spans="1:4" ht="36.75" customHeight="1">
      <c r="A1477" s="663"/>
      <c r="B1477" s="868" t="s">
        <v>2294</v>
      </c>
      <c r="C1477" s="870">
        <f>Elec.Data!K536</f>
        <v>0</v>
      </c>
      <c r="D1477" s="871"/>
    </row>
    <row r="1478" spans="1:4" ht="36.75" customHeight="1">
      <c r="A1478" s="663"/>
      <c r="B1478" s="868" t="s">
        <v>2295</v>
      </c>
      <c r="C1478" s="870">
        <f>Elec.Data!K549</f>
        <v>0</v>
      </c>
      <c r="D1478" s="871"/>
    </row>
    <row r="1479" spans="1:4" ht="36.75" customHeight="1">
      <c r="A1479" s="663"/>
      <c r="B1479" s="868" t="s">
        <v>2414</v>
      </c>
      <c r="C1479" s="870">
        <f>Elec.Data!K554</f>
        <v>0</v>
      </c>
      <c r="D1479" s="871"/>
    </row>
    <row r="1480" spans="1:4" ht="36.75" customHeight="1">
      <c r="A1480" s="663"/>
      <c r="B1480" s="868" t="s">
        <v>2402</v>
      </c>
      <c r="C1480" s="870">
        <f>Elec.Data!K559</f>
        <v>0</v>
      </c>
      <c r="D1480" s="871"/>
    </row>
    <row r="1481" spans="1:4" ht="36.75" customHeight="1">
      <c r="A1481" s="663"/>
      <c r="B1481" s="868" t="s">
        <v>6313</v>
      </c>
      <c r="C1481" s="870">
        <f>Elec.Data!K671</f>
        <v>0</v>
      </c>
      <c r="D1481" s="871"/>
    </row>
    <row r="1482" spans="1:4" ht="36.75" customHeight="1">
      <c r="A1482" s="663"/>
      <c r="B1482" s="868" t="s">
        <v>6314</v>
      </c>
      <c r="C1482" s="870">
        <f>Elec.Data!K709</f>
        <v>0</v>
      </c>
      <c r="D1482" s="871"/>
    </row>
    <row r="1483" spans="1:4" ht="36.75" customHeight="1">
      <c r="A1483" s="663"/>
      <c r="B1483" s="868" t="s">
        <v>2296</v>
      </c>
      <c r="C1483" s="870">
        <f>Elec.Data!K716</f>
        <v>165</v>
      </c>
      <c r="D1483" s="871"/>
    </row>
    <row r="1484" spans="1:4" ht="36.75" customHeight="1">
      <c r="A1484" s="663"/>
      <c r="B1484" s="868" t="s">
        <v>2309</v>
      </c>
      <c r="C1484" s="870">
        <f>Elec.Data!K737</f>
        <v>0</v>
      </c>
      <c r="D1484" s="871"/>
    </row>
    <row r="1485" spans="1:4" ht="36.75" customHeight="1">
      <c r="A1485" s="663"/>
      <c r="B1485" s="868" t="s">
        <v>3306</v>
      </c>
      <c r="C1485" s="870">
        <f>Elec.Data!K754</f>
        <v>0</v>
      </c>
      <c r="D1485" s="871"/>
    </row>
    <row r="1486" spans="1:4" ht="36.75" customHeight="1">
      <c r="A1486" s="663"/>
      <c r="B1486" s="868" t="s">
        <v>2811</v>
      </c>
      <c r="C1486" s="870">
        <f>Elec.Data!K789</f>
        <v>0</v>
      </c>
      <c r="D1486" s="871"/>
    </row>
    <row r="1487" spans="1:4" ht="36.75" customHeight="1">
      <c r="A1487" s="663"/>
      <c r="B1487" s="868" t="s">
        <v>3080</v>
      </c>
      <c r="C1487" s="870">
        <f>Elec.Data!K820</f>
        <v>0</v>
      </c>
      <c r="D1487" s="871"/>
    </row>
    <row r="1488" spans="1:4" ht="36.75" customHeight="1">
      <c r="A1488" s="663"/>
      <c r="B1488" s="868" t="s">
        <v>1108</v>
      </c>
      <c r="C1488" s="870">
        <f>Elec.Data!K846</f>
        <v>281.56</v>
      </c>
      <c r="D1488" s="871"/>
    </row>
    <row r="1489" spans="1:4" ht="36.75" customHeight="1">
      <c r="A1489" s="663"/>
      <c r="B1489" s="868" t="s">
        <v>2297</v>
      </c>
      <c r="C1489" s="870">
        <f>Elec.Data!K864</f>
        <v>99.56</v>
      </c>
      <c r="D1489" s="871"/>
    </row>
    <row r="1490" spans="1:4" ht="36.75" customHeight="1">
      <c r="A1490" s="663"/>
      <c r="B1490" s="868" t="s">
        <v>2627</v>
      </c>
      <c r="C1490" s="870">
        <f>Elec.Data!K871</f>
        <v>54.47</v>
      </c>
      <c r="D1490" s="871"/>
    </row>
    <row r="1491" spans="1:4" ht="36.75" customHeight="1">
      <c r="A1491" s="663"/>
      <c r="B1491" s="868" t="s">
        <v>2298</v>
      </c>
      <c r="C1491" s="870">
        <f>Elec.Data!K896</f>
        <v>7349.5</v>
      </c>
      <c r="D1491" s="871"/>
    </row>
    <row r="1492" spans="1:4" ht="36.75" customHeight="1">
      <c r="A1492" s="663"/>
      <c r="B1492" s="868" t="s">
        <v>2431</v>
      </c>
      <c r="C1492" s="870">
        <f>Elec.Data!K943</f>
        <v>623.42999999999995</v>
      </c>
      <c r="D1492" s="871"/>
    </row>
    <row r="1493" spans="1:4" ht="36.75" customHeight="1">
      <c r="A1493" s="663"/>
      <c r="B1493" s="874" t="s">
        <v>6315</v>
      </c>
      <c r="C1493" s="870">
        <f>Elec.Data!K993</f>
        <v>921.2</v>
      </c>
      <c r="D1493" s="871"/>
    </row>
    <row r="1494" spans="1:4" ht="36.75" customHeight="1">
      <c r="A1494" s="663"/>
      <c r="B1494" s="868" t="s">
        <v>6316</v>
      </c>
      <c r="C1494" s="870">
        <f>Elec.Data!K1019</f>
        <v>923.2</v>
      </c>
      <c r="D1494" s="871"/>
    </row>
    <row r="1495" spans="1:4" ht="36.75" customHeight="1">
      <c r="A1495" s="663"/>
      <c r="B1495" s="874" t="s">
        <v>6317</v>
      </c>
      <c r="C1495" s="870">
        <f>Elec.Data!K1035</f>
        <v>961.2</v>
      </c>
      <c r="D1495" s="871"/>
    </row>
    <row r="1496" spans="1:4" ht="36.75" customHeight="1">
      <c r="A1496" s="663"/>
      <c r="B1496" s="874" t="s">
        <v>6318</v>
      </c>
      <c r="C1496" s="870">
        <f>Elec.Data!K1057</f>
        <v>1008.2</v>
      </c>
      <c r="D1496" s="871"/>
    </row>
    <row r="1497" spans="1:4" ht="36.75" customHeight="1">
      <c r="A1497" s="663"/>
      <c r="B1497" s="874" t="s">
        <v>6319</v>
      </c>
      <c r="C1497" s="870">
        <f>Elec.Data!K1077</f>
        <v>2206.1</v>
      </c>
      <c r="D1497" s="871"/>
    </row>
    <row r="1498" spans="1:4" ht="36.75" customHeight="1">
      <c r="A1498" s="663"/>
      <c r="B1498" s="874" t="s">
        <v>6320</v>
      </c>
      <c r="C1498" s="870">
        <f>Elec.Data!K1096</f>
        <v>707.47</v>
      </c>
      <c r="D1498" s="871"/>
    </row>
    <row r="1499" spans="1:4" ht="36.75" customHeight="1">
      <c r="A1499" s="663"/>
      <c r="B1499" s="874" t="s">
        <v>6321</v>
      </c>
      <c r="C1499" s="870">
        <f>Elec.Data!K1120</f>
        <v>131.16</v>
      </c>
      <c r="D1499" s="871"/>
    </row>
    <row r="1500" spans="1:4" ht="36.75" customHeight="1">
      <c r="A1500" s="663"/>
      <c r="B1500" s="868" t="s">
        <v>6322</v>
      </c>
      <c r="C1500" s="870">
        <f>Elec.Data!K1131</f>
        <v>149.56</v>
      </c>
      <c r="D1500" s="871"/>
    </row>
    <row r="1501" spans="1:4" ht="36.75" customHeight="1">
      <c r="A1501" s="663"/>
      <c r="B1501" s="868" t="s">
        <v>2883</v>
      </c>
      <c r="C1501" s="870">
        <f>Data!R384</f>
        <v>23.04</v>
      </c>
      <c r="D1501" s="871"/>
    </row>
    <row r="1502" spans="1:4" ht="36.75" customHeight="1">
      <c r="A1502" s="663"/>
      <c r="B1502" s="868" t="s">
        <v>553</v>
      </c>
      <c r="C1502" s="870">
        <f>C1501+C1504</f>
        <v>23.04</v>
      </c>
      <c r="D1502" s="871"/>
    </row>
    <row r="1503" spans="1:4" ht="36.75" customHeight="1">
      <c r="A1503" s="663"/>
      <c r="B1503" s="868" t="s">
        <v>6327</v>
      </c>
      <c r="C1503" s="870">
        <f>Data!R398</f>
        <v>33.549999999999997</v>
      </c>
      <c r="D1503" s="871"/>
    </row>
    <row r="1504" spans="1:4" ht="36.75" customHeight="1">
      <c r="A1504" s="663"/>
      <c r="B1504" s="868" t="s">
        <v>2884</v>
      </c>
      <c r="C1504" s="870">
        <f>Data!I3172</f>
        <v>0</v>
      </c>
      <c r="D1504" s="871"/>
    </row>
    <row r="1505" spans="1:4" ht="36.75" customHeight="1">
      <c r="A1505" s="663"/>
      <c r="B1505" s="868" t="s">
        <v>2885</v>
      </c>
      <c r="C1505" s="870">
        <f>Data!I3198</f>
        <v>0</v>
      </c>
      <c r="D1505" s="871"/>
    </row>
    <row r="1506" spans="1:4" ht="36.75" customHeight="1">
      <c r="A1506" s="663"/>
      <c r="B1506" s="868" t="s">
        <v>2886</v>
      </c>
      <c r="C1506" s="870">
        <f>Data!I3212</f>
        <v>0</v>
      </c>
      <c r="D1506" s="871"/>
    </row>
    <row r="1507" spans="1:4" ht="36.75" customHeight="1">
      <c r="A1507" s="663"/>
      <c r="B1507" s="868" t="s">
        <v>2880</v>
      </c>
      <c r="C1507" s="870">
        <f>Data!K3188</f>
        <v>66.69</v>
      </c>
      <c r="D1507" s="871"/>
    </row>
    <row r="1508" spans="1:4" ht="36.75" customHeight="1">
      <c r="A1508" s="663"/>
      <c r="B1508" s="868" t="s">
        <v>2881</v>
      </c>
      <c r="C1508" s="870">
        <f>Data!K3175</f>
        <v>131.4</v>
      </c>
      <c r="D1508" s="871"/>
    </row>
    <row r="1509" spans="1:4" ht="36.75" customHeight="1">
      <c r="A1509" s="663"/>
      <c r="B1509" s="663" t="s">
        <v>6330</v>
      </c>
      <c r="C1509" s="870">
        <f>Data!K3202</f>
        <v>81.33</v>
      </c>
      <c r="D1509" s="871"/>
    </row>
    <row r="1510" spans="1:4" ht="36.75" customHeight="1">
      <c r="A1510" s="663"/>
      <c r="B1510" s="663" t="s">
        <v>6368</v>
      </c>
      <c r="C1510" s="870">
        <f>Data!K3247</f>
        <v>130.88</v>
      </c>
      <c r="D1510" s="871"/>
    </row>
    <row r="1511" spans="1:4" ht="36.75" customHeight="1">
      <c r="A1511" s="663"/>
      <c r="B1511" s="663" t="s">
        <v>6329</v>
      </c>
      <c r="C1511" s="870">
        <f>Data!K3216</f>
        <v>87.91</v>
      </c>
      <c r="D1511" s="871"/>
    </row>
    <row r="1512" spans="1:4" ht="36.75" customHeight="1">
      <c r="A1512" s="663"/>
      <c r="B1512" s="663" t="s">
        <v>6370</v>
      </c>
      <c r="C1512" s="870">
        <f>Data!K3231</f>
        <v>149.34</v>
      </c>
      <c r="D1512" s="871"/>
    </row>
    <row r="1513" spans="1:4" ht="36.75" customHeight="1">
      <c r="A1513" s="663"/>
      <c r="B1513" s="663" t="s">
        <v>2882</v>
      </c>
      <c r="C1513" s="870">
        <f>Data!K3275</f>
        <v>86.17</v>
      </c>
      <c r="D1513" s="871"/>
    </row>
    <row r="1514" spans="1:4" ht="36.75" customHeight="1">
      <c r="A1514" s="663"/>
      <c r="B1514" s="663" t="s">
        <v>6328</v>
      </c>
      <c r="C1514" s="870">
        <f>Data!K3358</f>
        <v>161.37</v>
      </c>
      <c r="D1514" s="871"/>
    </row>
    <row r="1515" spans="1:4" ht="36.75" customHeight="1">
      <c r="A1515" s="663"/>
      <c r="B1515" s="663" t="s">
        <v>5457</v>
      </c>
      <c r="C1515" s="870">
        <f>Data!K3371</f>
        <v>79.599999999999994</v>
      </c>
      <c r="D1515" s="871"/>
    </row>
    <row r="1516" spans="1:4" ht="36.75" customHeight="1">
      <c r="A1516" s="875"/>
      <c r="B1516" s="663"/>
      <c r="C1516" s="870"/>
      <c r="D1516" s="871"/>
    </row>
    <row r="1517" spans="1:4" ht="36.75" customHeight="1">
      <c r="A1517" s="875"/>
      <c r="B1517" s="663"/>
      <c r="C1517" s="870"/>
      <c r="D1517" s="871"/>
    </row>
    <row r="1518" spans="1:4" ht="36.75" customHeight="1">
      <c r="A1518" s="875"/>
      <c r="B1518" s="663" t="s">
        <v>5459</v>
      </c>
      <c r="C1518" s="870"/>
      <c r="D1518" s="871"/>
    </row>
    <row r="1519" spans="1:4" ht="36.75" customHeight="1">
      <c r="A1519" s="875"/>
      <c r="B1519" s="663"/>
      <c r="C1519" s="870"/>
      <c r="D1519" s="871"/>
    </row>
    <row r="1520" spans="1:4" ht="36.75" customHeight="1">
      <c r="A1520" s="875"/>
      <c r="B1520" s="663"/>
      <c r="C1520" s="870"/>
      <c r="D1520" s="871"/>
    </row>
    <row r="1521" spans="1:4" ht="36.75" customHeight="1">
      <c r="A1521" s="875"/>
      <c r="B1521" s="663"/>
      <c r="C1521" s="870"/>
      <c r="D1521" s="871"/>
    </row>
    <row r="1522" spans="1:4" ht="36.75" customHeight="1">
      <c r="A1522" s="875"/>
      <c r="B1522" s="663"/>
      <c r="C1522" s="870"/>
      <c r="D1522" s="871"/>
    </row>
    <row r="1523" spans="1:4" ht="36.75" customHeight="1">
      <c r="A1523" s="875"/>
      <c r="B1523" s="663"/>
      <c r="C1523" s="870"/>
      <c r="D1523" s="871"/>
    </row>
    <row r="1524" spans="1:4" ht="36.75" customHeight="1">
      <c r="A1524" s="663"/>
      <c r="B1524" s="663"/>
      <c r="C1524" s="870"/>
      <c r="D1524" s="871"/>
    </row>
    <row r="1525" spans="1:4" ht="36.75" customHeight="1">
      <c r="A1525" s="663"/>
      <c r="B1525" s="663"/>
      <c r="C1525" s="870"/>
      <c r="D1525" s="871"/>
    </row>
    <row r="1526" spans="1:4" ht="36.75" customHeight="1">
      <c r="A1526" s="663"/>
      <c r="B1526" s="663"/>
      <c r="C1526" s="870"/>
      <c r="D1526" s="871"/>
    </row>
    <row r="1527" spans="1:4" ht="36.75" customHeight="1">
      <c r="A1527" s="663"/>
      <c r="B1527" s="663"/>
      <c r="C1527" s="870"/>
      <c r="D1527" s="871"/>
    </row>
    <row r="1528" spans="1:4" ht="36.75" customHeight="1">
      <c r="A1528" s="663"/>
      <c r="B1528" s="663"/>
      <c r="C1528" s="870"/>
      <c r="D1528" s="871"/>
    </row>
    <row r="1529" spans="1:4" ht="36.75" customHeight="1">
      <c r="A1529" s="663"/>
      <c r="B1529" s="663"/>
      <c r="C1529" s="870"/>
      <c r="D1529" s="871"/>
    </row>
    <row r="1530" spans="1:4" ht="36.75" customHeight="1">
      <c r="A1530" s="663"/>
      <c r="B1530" s="663"/>
      <c r="C1530" s="870"/>
      <c r="D1530" s="871"/>
    </row>
    <row r="1531" spans="1:4" ht="36.75" customHeight="1">
      <c r="A1531" s="663"/>
      <c r="B1531" s="663"/>
      <c r="C1531" s="870"/>
      <c r="D1531" s="871"/>
    </row>
    <row r="1532" spans="1:4" ht="36.75" customHeight="1">
      <c r="A1532" s="663"/>
      <c r="B1532" s="663"/>
      <c r="C1532" s="870"/>
      <c r="D1532" s="871"/>
    </row>
    <row r="1533" spans="1:4" ht="36.75" customHeight="1">
      <c r="A1533" s="663"/>
      <c r="B1533" s="663"/>
      <c r="C1533" s="870"/>
      <c r="D1533" s="871"/>
    </row>
    <row r="1534" spans="1:4" ht="36.75" customHeight="1">
      <c r="A1534" s="663"/>
      <c r="B1534" s="663"/>
      <c r="C1534" s="870"/>
      <c r="D1534" s="871"/>
    </row>
    <row r="1535" spans="1:4" ht="36.75" customHeight="1">
      <c r="A1535" s="663"/>
      <c r="B1535" s="663"/>
      <c r="C1535" s="870"/>
      <c r="D1535" s="871"/>
    </row>
    <row r="1536" spans="1:4" ht="36.75" customHeight="1">
      <c r="A1536" s="663"/>
      <c r="B1536" s="663"/>
      <c r="C1536" s="663"/>
      <c r="D1536" s="663"/>
    </row>
    <row r="1537" spans="1:4" ht="36.75" customHeight="1">
      <c r="A1537" s="663"/>
      <c r="B1537" s="663"/>
      <c r="C1537" s="663"/>
      <c r="D1537" s="663"/>
    </row>
    <row r="1538" spans="1:4" ht="36.75" customHeight="1">
      <c r="A1538" s="663"/>
      <c r="B1538" s="663"/>
      <c r="C1538" s="663"/>
      <c r="D1538" s="663"/>
    </row>
    <row r="1539" spans="1:4" ht="36.75" customHeight="1">
      <c r="A1539" s="663"/>
      <c r="B1539" s="663"/>
      <c r="C1539" s="663"/>
      <c r="D1539" s="663"/>
    </row>
    <row r="1540" spans="1:4" ht="36.75" customHeight="1">
      <c r="A1540" s="663"/>
      <c r="B1540" s="663"/>
      <c r="C1540" s="663"/>
      <c r="D1540" s="663"/>
    </row>
    <row r="1541" spans="1:4" ht="36.75" customHeight="1">
      <c r="A1541" s="663"/>
      <c r="B1541" s="663"/>
      <c r="C1541" s="663"/>
      <c r="D1541" s="663"/>
    </row>
    <row r="1542" spans="1:4" ht="36.75" customHeight="1">
      <c r="A1542" s="663"/>
      <c r="B1542" s="663"/>
      <c r="C1542" s="663"/>
      <c r="D1542" s="663"/>
    </row>
    <row r="1543" spans="1:4" ht="36.75" customHeight="1">
      <c r="A1543" s="663"/>
      <c r="B1543" s="663"/>
      <c r="C1543" s="663"/>
      <c r="D1543" s="663"/>
    </row>
    <row r="1544" spans="1:4" ht="36.75" customHeight="1">
      <c r="A1544" s="663"/>
      <c r="B1544" s="663"/>
      <c r="C1544" s="663"/>
      <c r="D1544" s="663"/>
    </row>
    <row r="1545" spans="1:4" ht="36.75" customHeight="1">
      <c r="C1545" s="646"/>
      <c r="D1545" s="646"/>
    </row>
    <row r="1546" spans="1:4" ht="36.75" customHeight="1">
      <c r="C1546" s="646"/>
      <c r="D1546" s="646"/>
    </row>
    <row r="1547" spans="1:4" ht="36.75" customHeight="1">
      <c r="C1547" s="646"/>
      <c r="D1547" s="646"/>
    </row>
    <row r="1548" spans="1:4" ht="36.75" customHeight="1">
      <c r="C1548" s="646"/>
      <c r="D1548" s="646"/>
    </row>
    <row r="1549" spans="1:4" ht="36.75" customHeight="1">
      <c r="C1549" s="646"/>
      <c r="D1549" s="646"/>
    </row>
    <row r="1550" spans="1:4" ht="36.75" customHeight="1">
      <c r="C1550" s="646"/>
      <c r="D1550" s="646"/>
    </row>
    <row r="1551" spans="1:4" ht="36.75" customHeight="1">
      <c r="C1551" s="646"/>
      <c r="D1551" s="646"/>
    </row>
    <row r="1552" spans="1:4" ht="36.75" customHeight="1">
      <c r="C1552" s="646"/>
      <c r="D1552" s="646"/>
    </row>
    <row r="1553" spans="3:4" ht="36.75" customHeight="1">
      <c r="C1553" s="646"/>
      <c r="D1553" s="646"/>
    </row>
    <row r="1554" spans="3:4" ht="36.75" customHeight="1">
      <c r="C1554" s="646"/>
      <c r="D1554" s="646"/>
    </row>
  </sheetData>
  <autoFilter ref="A4:D501"/>
  <mergeCells count="5">
    <mergeCell ref="A1:D1"/>
    <mergeCell ref="A2:A3"/>
    <mergeCell ref="B2:B3"/>
    <mergeCell ref="C2:C3"/>
    <mergeCell ref="D2:D3"/>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415"/>
  <sheetViews>
    <sheetView tabSelected="1" view="pageBreakPreview" topLeftCell="A60" zoomScale="120" zoomScaleSheetLayoutView="120" workbookViewId="0">
      <selection activeCell="C61" sqref="C61"/>
    </sheetView>
  </sheetViews>
  <sheetFormatPr defaultRowHeight="12.75"/>
  <cols>
    <col min="1" max="1" width="4" style="1074" customWidth="1"/>
    <col min="2" max="2" width="8" style="1075" customWidth="1"/>
    <col min="3" max="3" width="35.6640625" style="1054" customWidth="1"/>
    <col min="4" max="4" width="8.33203125" style="1076" customWidth="1"/>
    <col min="5" max="5" width="6.5546875" style="1077" customWidth="1"/>
    <col min="6" max="6" width="13.77734375" style="1075" customWidth="1"/>
    <col min="7" max="7" width="10" style="1054" customWidth="1"/>
    <col min="8" max="8" width="11.109375" style="1054" customWidth="1"/>
    <col min="9" max="9" width="8.88671875" style="1054"/>
    <col min="10" max="10" width="9.5546875" style="1054" bestFit="1" customWidth="1"/>
    <col min="11" max="11" width="8.88671875" style="1054"/>
    <col min="12" max="12" width="12.6640625" style="1054" customWidth="1"/>
    <col min="13" max="13" width="8.88671875" style="1054"/>
    <col min="14" max="15" width="10" style="1054" customWidth="1"/>
    <col min="16" max="16" width="12.5546875" style="1054" customWidth="1"/>
    <col min="17" max="18" width="8.88671875" style="1054"/>
    <col min="19" max="19" width="9.77734375" style="1054" customWidth="1"/>
    <col min="20" max="256" width="8.88671875" style="1054"/>
    <col min="257" max="257" width="4" style="1054" customWidth="1"/>
    <col min="258" max="258" width="8" style="1054" customWidth="1"/>
    <col min="259" max="259" width="31.109375" style="1054" customWidth="1"/>
    <col min="260" max="260" width="8.33203125" style="1054" customWidth="1"/>
    <col min="261" max="261" width="6.5546875" style="1054" customWidth="1"/>
    <col min="262" max="262" width="11.109375" style="1054" customWidth="1"/>
    <col min="263" max="263" width="10" style="1054" customWidth="1"/>
    <col min="264" max="264" width="11.109375" style="1054" customWidth="1"/>
    <col min="265" max="265" width="8.88671875" style="1054"/>
    <col min="266" max="266" width="9.5546875" style="1054" bestFit="1" customWidth="1"/>
    <col min="267" max="267" width="8.88671875" style="1054"/>
    <col min="268" max="268" width="12.6640625" style="1054" customWidth="1"/>
    <col min="269" max="269" width="8.88671875" style="1054"/>
    <col min="270" max="271" width="10" style="1054" customWidth="1"/>
    <col min="272" max="272" width="12.5546875" style="1054" customWidth="1"/>
    <col min="273" max="274" width="8.88671875" style="1054"/>
    <col min="275" max="275" width="9.77734375" style="1054" customWidth="1"/>
    <col min="276" max="512" width="8.88671875" style="1054"/>
    <col min="513" max="513" width="4" style="1054" customWidth="1"/>
    <col min="514" max="514" width="8" style="1054" customWidth="1"/>
    <col min="515" max="515" width="31.109375" style="1054" customWidth="1"/>
    <col min="516" max="516" width="8.33203125" style="1054" customWidth="1"/>
    <col min="517" max="517" width="6.5546875" style="1054" customWidth="1"/>
    <col min="518" max="518" width="11.109375" style="1054" customWidth="1"/>
    <col min="519" max="519" width="10" style="1054" customWidth="1"/>
    <col min="520" max="520" width="11.109375" style="1054" customWidth="1"/>
    <col min="521" max="521" width="8.88671875" style="1054"/>
    <col min="522" max="522" width="9.5546875" style="1054" bestFit="1" customWidth="1"/>
    <col min="523" max="523" width="8.88671875" style="1054"/>
    <col min="524" max="524" width="12.6640625" style="1054" customWidth="1"/>
    <col min="525" max="525" width="8.88671875" style="1054"/>
    <col min="526" max="527" width="10" style="1054" customWidth="1"/>
    <col min="528" max="528" width="12.5546875" style="1054" customWidth="1"/>
    <col min="529" max="530" width="8.88671875" style="1054"/>
    <col min="531" max="531" width="9.77734375" style="1054" customWidth="1"/>
    <col min="532" max="768" width="8.88671875" style="1054"/>
    <col min="769" max="769" width="4" style="1054" customWidth="1"/>
    <col min="770" max="770" width="8" style="1054" customWidth="1"/>
    <col min="771" max="771" width="31.109375" style="1054" customWidth="1"/>
    <col min="772" max="772" width="8.33203125" style="1054" customWidth="1"/>
    <col min="773" max="773" width="6.5546875" style="1054" customWidth="1"/>
    <col min="774" max="774" width="11.109375" style="1054" customWidth="1"/>
    <col min="775" max="775" width="10" style="1054" customWidth="1"/>
    <col min="776" max="776" width="11.109375" style="1054" customWidth="1"/>
    <col min="777" max="777" width="8.88671875" style="1054"/>
    <col min="778" max="778" width="9.5546875" style="1054" bestFit="1" customWidth="1"/>
    <col min="779" max="779" width="8.88671875" style="1054"/>
    <col min="780" max="780" width="12.6640625" style="1054" customWidth="1"/>
    <col min="781" max="781" width="8.88671875" style="1054"/>
    <col min="782" max="783" width="10" style="1054" customWidth="1"/>
    <col min="784" max="784" width="12.5546875" style="1054" customWidth="1"/>
    <col min="785" max="786" width="8.88671875" style="1054"/>
    <col min="787" max="787" width="9.77734375" style="1054" customWidth="1"/>
    <col min="788" max="1024" width="8.88671875" style="1054"/>
    <col min="1025" max="1025" width="4" style="1054" customWidth="1"/>
    <col min="1026" max="1026" width="8" style="1054" customWidth="1"/>
    <col min="1027" max="1027" width="31.109375" style="1054" customWidth="1"/>
    <col min="1028" max="1028" width="8.33203125" style="1054" customWidth="1"/>
    <col min="1029" max="1029" width="6.5546875" style="1054" customWidth="1"/>
    <col min="1030" max="1030" width="11.109375" style="1054" customWidth="1"/>
    <col min="1031" max="1031" width="10" style="1054" customWidth="1"/>
    <col min="1032" max="1032" width="11.109375" style="1054" customWidth="1"/>
    <col min="1033" max="1033" width="8.88671875" style="1054"/>
    <col min="1034" max="1034" width="9.5546875" style="1054" bestFit="1" customWidth="1"/>
    <col min="1035" max="1035" width="8.88671875" style="1054"/>
    <col min="1036" max="1036" width="12.6640625" style="1054" customWidth="1"/>
    <col min="1037" max="1037" width="8.88671875" style="1054"/>
    <col min="1038" max="1039" width="10" style="1054" customWidth="1"/>
    <col min="1040" max="1040" width="12.5546875" style="1054" customWidth="1"/>
    <col min="1041" max="1042" width="8.88671875" style="1054"/>
    <col min="1043" max="1043" width="9.77734375" style="1054" customWidth="1"/>
    <col min="1044" max="1280" width="8.88671875" style="1054"/>
    <col min="1281" max="1281" width="4" style="1054" customWidth="1"/>
    <col min="1282" max="1282" width="8" style="1054" customWidth="1"/>
    <col min="1283" max="1283" width="31.109375" style="1054" customWidth="1"/>
    <col min="1284" max="1284" width="8.33203125" style="1054" customWidth="1"/>
    <col min="1285" max="1285" width="6.5546875" style="1054" customWidth="1"/>
    <col min="1286" max="1286" width="11.109375" style="1054" customWidth="1"/>
    <col min="1287" max="1287" width="10" style="1054" customWidth="1"/>
    <col min="1288" max="1288" width="11.109375" style="1054" customWidth="1"/>
    <col min="1289" max="1289" width="8.88671875" style="1054"/>
    <col min="1290" max="1290" width="9.5546875" style="1054" bestFit="1" customWidth="1"/>
    <col min="1291" max="1291" width="8.88671875" style="1054"/>
    <col min="1292" max="1292" width="12.6640625" style="1054" customWidth="1"/>
    <col min="1293" max="1293" width="8.88671875" style="1054"/>
    <col min="1294" max="1295" width="10" style="1054" customWidth="1"/>
    <col min="1296" max="1296" width="12.5546875" style="1054" customWidth="1"/>
    <col min="1297" max="1298" width="8.88671875" style="1054"/>
    <col min="1299" max="1299" width="9.77734375" style="1054" customWidth="1"/>
    <col min="1300" max="1536" width="8.88671875" style="1054"/>
    <col min="1537" max="1537" width="4" style="1054" customWidth="1"/>
    <col min="1538" max="1538" width="8" style="1054" customWidth="1"/>
    <col min="1539" max="1539" width="31.109375" style="1054" customWidth="1"/>
    <col min="1540" max="1540" width="8.33203125" style="1054" customWidth="1"/>
    <col min="1541" max="1541" width="6.5546875" style="1054" customWidth="1"/>
    <col min="1542" max="1542" width="11.109375" style="1054" customWidth="1"/>
    <col min="1543" max="1543" width="10" style="1054" customWidth="1"/>
    <col min="1544" max="1544" width="11.109375" style="1054" customWidth="1"/>
    <col min="1545" max="1545" width="8.88671875" style="1054"/>
    <col min="1546" max="1546" width="9.5546875" style="1054" bestFit="1" customWidth="1"/>
    <col min="1547" max="1547" width="8.88671875" style="1054"/>
    <col min="1548" max="1548" width="12.6640625" style="1054" customWidth="1"/>
    <col min="1549" max="1549" width="8.88671875" style="1054"/>
    <col min="1550" max="1551" width="10" style="1054" customWidth="1"/>
    <col min="1552" max="1552" width="12.5546875" style="1054" customWidth="1"/>
    <col min="1553" max="1554" width="8.88671875" style="1054"/>
    <col min="1555" max="1555" width="9.77734375" style="1054" customWidth="1"/>
    <col min="1556" max="1792" width="8.88671875" style="1054"/>
    <col min="1793" max="1793" width="4" style="1054" customWidth="1"/>
    <col min="1794" max="1794" width="8" style="1054" customWidth="1"/>
    <col min="1795" max="1795" width="31.109375" style="1054" customWidth="1"/>
    <col min="1796" max="1796" width="8.33203125" style="1054" customWidth="1"/>
    <col min="1797" max="1797" width="6.5546875" style="1054" customWidth="1"/>
    <col min="1798" max="1798" width="11.109375" style="1054" customWidth="1"/>
    <col min="1799" max="1799" width="10" style="1054" customWidth="1"/>
    <col min="1800" max="1800" width="11.109375" style="1054" customWidth="1"/>
    <col min="1801" max="1801" width="8.88671875" style="1054"/>
    <col min="1802" max="1802" width="9.5546875" style="1054" bestFit="1" customWidth="1"/>
    <col min="1803" max="1803" width="8.88671875" style="1054"/>
    <col min="1804" max="1804" width="12.6640625" style="1054" customWidth="1"/>
    <col min="1805" max="1805" width="8.88671875" style="1054"/>
    <col min="1806" max="1807" width="10" style="1054" customWidth="1"/>
    <col min="1808" max="1808" width="12.5546875" style="1054" customWidth="1"/>
    <col min="1809" max="1810" width="8.88671875" style="1054"/>
    <col min="1811" max="1811" width="9.77734375" style="1054" customWidth="1"/>
    <col min="1812" max="2048" width="8.88671875" style="1054"/>
    <col min="2049" max="2049" width="4" style="1054" customWidth="1"/>
    <col min="2050" max="2050" width="8" style="1054" customWidth="1"/>
    <col min="2051" max="2051" width="31.109375" style="1054" customWidth="1"/>
    <col min="2052" max="2052" width="8.33203125" style="1054" customWidth="1"/>
    <col min="2053" max="2053" width="6.5546875" style="1054" customWidth="1"/>
    <col min="2054" max="2054" width="11.109375" style="1054" customWidth="1"/>
    <col min="2055" max="2055" width="10" style="1054" customWidth="1"/>
    <col min="2056" max="2056" width="11.109375" style="1054" customWidth="1"/>
    <col min="2057" max="2057" width="8.88671875" style="1054"/>
    <col min="2058" max="2058" width="9.5546875" style="1054" bestFit="1" customWidth="1"/>
    <col min="2059" max="2059" width="8.88671875" style="1054"/>
    <col min="2060" max="2060" width="12.6640625" style="1054" customWidth="1"/>
    <col min="2061" max="2061" width="8.88671875" style="1054"/>
    <col min="2062" max="2063" width="10" style="1054" customWidth="1"/>
    <col min="2064" max="2064" width="12.5546875" style="1054" customWidth="1"/>
    <col min="2065" max="2066" width="8.88671875" style="1054"/>
    <col min="2067" max="2067" width="9.77734375" style="1054" customWidth="1"/>
    <col min="2068" max="2304" width="8.88671875" style="1054"/>
    <col min="2305" max="2305" width="4" style="1054" customWidth="1"/>
    <col min="2306" max="2306" width="8" style="1054" customWidth="1"/>
    <col min="2307" max="2307" width="31.109375" style="1054" customWidth="1"/>
    <col min="2308" max="2308" width="8.33203125" style="1054" customWidth="1"/>
    <col min="2309" max="2309" width="6.5546875" style="1054" customWidth="1"/>
    <col min="2310" max="2310" width="11.109375" style="1054" customWidth="1"/>
    <col min="2311" max="2311" width="10" style="1054" customWidth="1"/>
    <col min="2312" max="2312" width="11.109375" style="1054" customWidth="1"/>
    <col min="2313" max="2313" width="8.88671875" style="1054"/>
    <col min="2314" max="2314" width="9.5546875" style="1054" bestFit="1" customWidth="1"/>
    <col min="2315" max="2315" width="8.88671875" style="1054"/>
    <col min="2316" max="2316" width="12.6640625" style="1054" customWidth="1"/>
    <col min="2317" max="2317" width="8.88671875" style="1054"/>
    <col min="2318" max="2319" width="10" style="1054" customWidth="1"/>
    <col min="2320" max="2320" width="12.5546875" style="1054" customWidth="1"/>
    <col min="2321" max="2322" width="8.88671875" style="1054"/>
    <col min="2323" max="2323" width="9.77734375" style="1054" customWidth="1"/>
    <col min="2324" max="2560" width="8.88671875" style="1054"/>
    <col min="2561" max="2561" width="4" style="1054" customWidth="1"/>
    <col min="2562" max="2562" width="8" style="1054" customWidth="1"/>
    <col min="2563" max="2563" width="31.109375" style="1054" customWidth="1"/>
    <col min="2564" max="2564" width="8.33203125" style="1054" customWidth="1"/>
    <col min="2565" max="2565" width="6.5546875" style="1054" customWidth="1"/>
    <col min="2566" max="2566" width="11.109375" style="1054" customWidth="1"/>
    <col min="2567" max="2567" width="10" style="1054" customWidth="1"/>
    <col min="2568" max="2568" width="11.109375" style="1054" customWidth="1"/>
    <col min="2569" max="2569" width="8.88671875" style="1054"/>
    <col min="2570" max="2570" width="9.5546875" style="1054" bestFit="1" customWidth="1"/>
    <col min="2571" max="2571" width="8.88671875" style="1054"/>
    <col min="2572" max="2572" width="12.6640625" style="1054" customWidth="1"/>
    <col min="2573" max="2573" width="8.88671875" style="1054"/>
    <col min="2574" max="2575" width="10" style="1054" customWidth="1"/>
    <col min="2576" max="2576" width="12.5546875" style="1054" customWidth="1"/>
    <col min="2577" max="2578" width="8.88671875" style="1054"/>
    <col min="2579" max="2579" width="9.77734375" style="1054" customWidth="1"/>
    <col min="2580" max="2816" width="8.88671875" style="1054"/>
    <col min="2817" max="2817" width="4" style="1054" customWidth="1"/>
    <col min="2818" max="2818" width="8" style="1054" customWidth="1"/>
    <col min="2819" max="2819" width="31.109375" style="1054" customWidth="1"/>
    <col min="2820" max="2820" width="8.33203125" style="1054" customWidth="1"/>
    <col min="2821" max="2821" width="6.5546875" style="1054" customWidth="1"/>
    <col min="2822" max="2822" width="11.109375" style="1054" customWidth="1"/>
    <col min="2823" max="2823" width="10" style="1054" customWidth="1"/>
    <col min="2824" max="2824" width="11.109375" style="1054" customWidth="1"/>
    <col min="2825" max="2825" width="8.88671875" style="1054"/>
    <col min="2826" max="2826" width="9.5546875" style="1054" bestFit="1" customWidth="1"/>
    <col min="2827" max="2827" width="8.88671875" style="1054"/>
    <col min="2828" max="2828" width="12.6640625" style="1054" customWidth="1"/>
    <col min="2829" max="2829" width="8.88671875" style="1054"/>
    <col min="2830" max="2831" width="10" style="1054" customWidth="1"/>
    <col min="2832" max="2832" width="12.5546875" style="1054" customWidth="1"/>
    <col min="2833" max="2834" width="8.88671875" style="1054"/>
    <col min="2835" max="2835" width="9.77734375" style="1054" customWidth="1"/>
    <col min="2836" max="3072" width="8.88671875" style="1054"/>
    <col min="3073" max="3073" width="4" style="1054" customWidth="1"/>
    <col min="3074" max="3074" width="8" style="1054" customWidth="1"/>
    <col min="3075" max="3075" width="31.109375" style="1054" customWidth="1"/>
    <col min="3076" max="3076" width="8.33203125" style="1054" customWidth="1"/>
    <col min="3077" max="3077" width="6.5546875" style="1054" customWidth="1"/>
    <col min="3078" max="3078" width="11.109375" style="1054" customWidth="1"/>
    <col min="3079" max="3079" width="10" style="1054" customWidth="1"/>
    <col min="3080" max="3080" width="11.109375" style="1054" customWidth="1"/>
    <col min="3081" max="3081" width="8.88671875" style="1054"/>
    <col min="3082" max="3082" width="9.5546875" style="1054" bestFit="1" customWidth="1"/>
    <col min="3083" max="3083" width="8.88671875" style="1054"/>
    <col min="3084" max="3084" width="12.6640625" style="1054" customWidth="1"/>
    <col min="3085" max="3085" width="8.88671875" style="1054"/>
    <col min="3086" max="3087" width="10" style="1054" customWidth="1"/>
    <col min="3088" max="3088" width="12.5546875" style="1054" customWidth="1"/>
    <col min="3089" max="3090" width="8.88671875" style="1054"/>
    <col min="3091" max="3091" width="9.77734375" style="1054" customWidth="1"/>
    <col min="3092" max="3328" width="8.88671875" style="1054"/>
    <col min="3329" max="3329" width="4" style="1054" customWidth="1"/>
    <col min="3330" max="3330" width="8" style="1054" customWidth="1"/>
    <col min="3331" max="3331" width="31.109375" style="1054" customWidth="1"/>
    <col min="3332" max="3332" width="8.33203125" style="1054" customWidth="1"/>
    <col min="3333" max="3333" width="6.5546875" style="1054" customWidth="1"/>
    <col min="3334" max="3334" width="11.109375" style="1054" customWidth="1"/>
    <col min="3335" max="3335" width="10" style="1054" customWidth="1"/>
    <col min="3336" max="3336" width="11.109375" style="1054" customWidth="1"/>
    <col min="3337" max="3337" width="8.88671875" style="1054"/>
    <col min="3338" max="3338" width="9.5546875" style="1054" bestFit="1" customWidth="1"/>
    <col min="3339" max="3339" width="8.88671875" style="1054"/>
    <col min="3340" max="3340" width="12.6640625" style="1054" customWidth="1"/>
    <col min="3341" max="3341" width="8.88671875" style="1054"/>
    <col min="3342" max="3343" width="10" style="1054" customWidth="1"/>
    <col min="3344" max="3344" width="12.5546875" style="1054" customWidth="1"/>
    <col min="3345" max="3346" width="8.88671875" style="1054"/>
    <col min="3347" max="3347" width="9.77734375" style="1054" customWidth="1"/>
    <col min="3348" max="3584" width="8.88671875" style="1054"/>
    <col min="3585" max="3585" width="4" style="1054" customWidth="1"/>
    <col min="3586" max="3586" width="8" style="1054" customWidth="1"/>
    <col min="3587" max="3587" width="31.109375" style="1054" customWidth="1"/>
    <col min="3588" max="3588" width="8.33203125" style="1054" customWidth="1"/>
    <col min="3589" max="3589" width="6.5546875" style="1054" customWidth="1"/>
    <col min="3590" max="3590" width="11.109375" style="1054" customWidth="1"/>
    <col min="3591" max="3591" width="10" style="1054" customWidth="1"/>
    <col min="3592" max="3592" width="11.109375" style="1054" customWidth="1"/>
    <col min="3593" max="3593" width="8.88671875" style="1054"/>
    <col min="3594" max="3594" width="9.5546875" style="1054" bestFit="1" customWidth="1"/>
    <col min="3595" max="3595" width="8.88671875" style="1054"/>
    <col min="3596" max="3596" width="12.6640625" style="1054" customWidth="1"/>
    <col min="3597" max="3597" width="8.88671875" style="1054"/>
    <col min="3598" max="3599" width="10" style="1054" customWidth="1"/>
    <col min="3600" max="3600" width="12.5546875" style="1054" customWidth="1"/>
    <col min="3601" max="3602" width="8.88671875" style="1054"/>
    <col min="3603" max="3603" width="9.77734375" style="1054" customWidth="1"/>
    <col min="3604" max="3840" width="8.88671875" style="1054"/>
    <col min="3841" max="3841" width="4" style="1054" customWidth="1"/>
    <col min="3842" max="3842" width="8" style="1054" customWidth="1"/>
    <col min="3843" max="3843" width="31.109375" style="1054" customWidth="1"/>
    <col min="3844" max="3844" width="8.33203125" style="1054" customWidth="1"/>
    <col min="3845" max="3845" width="6.5546875" style="1054" customWidth="1"/>
    <col min="3846" max="3846" width="11.109375" style="1054" customWidth="1"/>
    <col min="3847" max="3847" width="10" style="1054" customWidth="1"/>
    <col min="3848" max="3848" width="11.109375" style="1054" customWidth="1"/>
    <col min="3849" max="3849" width="8.88671875" style="1054"/>
    <col min="3850" max="3850" width="9.5546875" style="1054" bestFit="1" customWidth="1"/>
    <col min="3851" max="3851" width="8.88671875" style="1054"/>
    <col min="3852" max="3852" width="12.6640625" style="1054" customWidth="1"/>
    <col min="3853" max="3853" width="8.88671875" style="1054"/>
    <col min="3854" max="3855" width="10" style="1054" customWidth="1"/>
    <col min="3856" max="3856" width="12.5546875" style="1054" customWidth="1"/>
    <col min="3857" max="3858" width="8.88671875" style="1054"/>
    <col min="3859" max="3859" width="9.77734375" style="1054" customWidth="1"/>
    <col min="3860" max="4096" width="8.88671875" style="1054"/>
    <col min="4097" max="4097" width="4" style="1054" customWidth="1"/>
    <col min="4098" max="4098" width="8" style="1054" customWidth="1"/>
    <col min="4099" max="4099" width="31.109375" style="1054" customWidth="1"/>
    <col min="4100" max="4100" width="8.33203125" style="1054" customWidth="1"/>
    <col min="4101" max="4101" width="6.5546875" style="1054" customWidth="1"/>
    <col min="4102" max="4102" width="11.109375" style="1054" customWidth="1"/>
    <col min="4103" max="4103" width="10" style="1054" customWidth="1"/>
    <col min="4104" max="4104" width="11.109375" style="1054" customWidth="1"/>
    <col min="4105" max="4105" width="8.88671875" style="1054"/>
    <col min="4106" max="4106" width="9.5546875" style="1054" bestFit="1" customWidth="1"/>
    <col min="4107" max="4107" width="8.88671875" style="1054"/>
    <col min="4108" max="4108" width="12.6640625" style="1054" customWidth="1"/>
    <col min="4109" max="4109" width="8.88671875" style="1054"/>
    <col min="4110" max="4111" width="10" style="1054" customWidth="1"/>
    <col min="4112" max="4112" width="12.5546875" style="1054" customWidth="1"/>
    <col min="4113" max="4114" width="8.88671875" style="1054"/>
    <col min="4115" max="4115" width="9.77734375" style="1054" customWidth="1"/>
    <col min="4116" max="4352" width="8.88671875" style="1054"/>
    <col min="4353" max="4353" width="4" style="1054" customWidth="1"/>
    <col min="4354" max="4354" width="8" style="1054" customWidth="1"/>
    <col min="4355" max="4355" width="31.109375" style="1054" customWidth="1"/>
    <col min="4356" max="4356" width="8.33203125" style="1054" customWidth="1"/>
    <col min="4357" max="4357" width="6.5546875" style="1054" customWidth="1"/>
    <col min="4358" max="4358" width="11.109375" style="1054" customWidth="1"/>
    <col min="4359" max="4359" width="10" style="1054" customWidth="1"/>
    <col min="4360" max="4360" width="11.109375" style="1054" customWidth="1"/>
    <col min="4361" max="4361" width="8.88671875" style="1054"/>
    <col min="4362" max="4362" width="9.5546875" style="1054" bestFit="1" customWidth="1"/>
    <col min="4363" max="4363" width="8.88671875" style="1054"/>
    <col min="4364" max="4364" width="12.6640625" style="1054" customWidth="1"/>
    <col min="4365" max="4365" width="8.88671875" style="1054"/>
    <col min="4366" max="4367" width="10" style="1054" customWidth="1"/>
    <col min="4368" max="4368" width="12.5546875" style="1054" customWidth="1"/>
    <col min="4369" max="4370" width="8.88671875" style="1054"/>
    <col min="4371" max="4371" width="9.77734375" style="1054" customWidth="1"/>
    <col min="4372" max="4608" width="8.88671875" style="1054"/>
    <col min="4609" max="4609" width="4" style="1054" customWidth="1"/>
    <col min="4610" max="4610" width="8" style="1054" customWidth="1"/>
    <col min="4611" max="4611" width="31.109375" style="1054" customWidth="1"/>
    <col min="4612" max="4612" width="8.33203125" style="1054" customWidth="1"/>
    <col min="4613" max="4613" width="6.5546875" style="1054" customWidth="1"/>
    <col min="4614" max="4614" width="11.109375" style="1054" customWidth="1"/>
    <col min="4615" max="4615" width="10" style="1054" customWidth="1"/>
    <col min="4616" max="4616" width="11.109375" style="1054" customWidth="1"/>
    <col min="4617" max="4617" width="8.88671875" style="1054"/>
    <col min="4618" max="4618" width="9.5546875" style="1054" bestFit="1" customWidth="1"/>
    <col min="4619" max="4619" width="8.88671875" style="1054"/>
    <col min="4620" max="4620" width="12.6640625" style="1054" customWidth="1"/>
    <col min="4621" max="4621" width="8.88671875" style="1054"/>
    <col min="4622" max="4623" width="10" style="1054" customWidth="1"/>
    <col min="4624" max="4624" width="12.5546875" style="1054" customWidth="1"/>
    <col min="4625" max="4626" width="8.88671875" style="1054"/>
    <col min="4627" max="4627" width="9.77734375" style="1054" customWidth="1"/>
    <col min="4628" max="4864" width="8.88671875" style="1054"/>
    <col min="4865" max="4865" width="4" style="1054" customWidth="1"/>
    <col min="4866" max="4866" width="8" style="1054" customWidth="1"/>
    <col min="4867" max="4867" width="31.109375" style="1054" customWidth="1"/>
    <col min="4868" max="4868" width="8.33203125" style="1054" customWidth="1"/>
    <col min="4869" max="4869" width="6.5546875" style="1054" customWidth="1"/>
    <col min="4870" max="4870" width="11.109375" style="1054" customWidth="1"/>
    <col min="4871" max="4871" width="10" style="1054" customWidth="1"/>
    <col min="4872" max="4872" width="11.109375" style="1054" customWidth="1"/>
    <col min="4873" max="4873" width="8.88671875" style="1054"/>
    <col min="4874" max="4874" width="9.5546875" style="1054" bestFit="1" customWidth="1"/>
    <col min="4875" max="4875" width="8.88671875" style="1054"/>
    <col min="4876" max="4876" width="12.6640625" style="1054" customWidth="1"/>
    <col min="4877" max="4877" width="8.88671875" style="1054"/>
    <col min="4878" max="4879" width="10" style="1054" customWidth="1"/>
    <col min="4880" max="4880" width="12.5546875" style="1054" customWidth="1"/>
    <col min="4881" max="4882" width="8.88671875" style="1054"/>
    <col min="4883" max="4883" width="9.77734375" style="1054" customWidth="1"/>
    <col min="4884" max="5120" width="8.88671875" style="1054"/>
    <col min="5121" max="5121" width="4" style="1054" customWidth="1"/>
    <col min="5122" max="5122" width="8" style="1054" customWidth="1"/>
    <col min="5123" max="5123" width="31.109375" style="1054" customWidth="1"/>
    <col min="5124" max="5124" width="8.33203125" style="1054" customWidth="1"/>
    <col min="5125" max="5125" width="6.5546875" style="1054" customWidth="1"/>
    <col min="5126" max="5126" width="11.109375" style="1054" customWidth="1"/>
    <col min="5127" max="5127" width="10" style="1054" customWidth="1"/>
    <col min="5128" max="5128" width="11.109375" style="1054" customWidth="1"/>
    <col min="5129" max="5129" width="8.88671875" style="1054"/>
    <col min="5130" max="5130" width="9.5546875" style="1054" bestFit="1" customWidth="1"/>
    <col min="5131" max="5131" width="8.88671875" style="1054"/>
    <col min="5132" max="5132" width="12.6640625" style="1054" customWidth="1"/>
    <col min="5133" max="5133" width="8.88671875" style="1054"/>
    <col min="5134" max="5135" width="10" style="1054" customWidth="1"/>
    <col min="5136" max="5136" width="12.5546875" style="1054" customWidth="1"/>
    <col min="5137" max="5138" width="8.88671875" style="1054"/>
    <col min="5139" max="5139" width="9.77734375" style="1054" customWidth="1"/>
    <col min="5140" max="5376" width="8.88671875" style="1054"/>
    <col min="5377" max="5377" width="4" style="1054" customWidth="1"/>
    <col min="5378" max="5378" width="8" style="1054" customWidth="1"/>
    <col min="5379" max="5379" width="31.109375" style="1054" customWidth="1"/>
    <col min="5380" max="5380" width="8.33203125" style="1054" customWidth="1"/>
    <col min="5381" max="5381" width="6.5546875" style="1054" customWidth="1"/>
    <col min="5382" max="5382" width="11.109375" style="1054" customWidth="1"/>
    <col min="5383" max="5383" width="10" style="1054" customWidth="1"/>
    <col min="5384" max="5384" width="11.109375" style="1054" customWidth="1"/>
    <col min="5385" max="5385" width="8.88671875" style="1054"/>
    <col min="5386" max="5386" width="9.5546875" style="1054" bestFit="1" customWidth="1"/>
    <col min="5387" max="5387" width="8.88671875" style="1054"/>
    <col min="5388" max="5388" width="12.6640625" style="1054" customWidth="1"/>
    <col min="5389" max="5389" width="8.88671875" style="1054"/>
    <col min="5390" max="5391" width="10" style="1054" customWidth="1"/>
    <col min="5392" max="5392" width="12.5546875" style="1054" customWidth="1"/>
    <col min="5393" max="5394" width="8.88671875" style="1054"/>
    <col min="5395" max="5395" width="9.77734375" style="1054" customWidth="1"/>
    <col min="5396" max="5632" width="8.88671875" style="1054"/>
    <col min="5633" max="5633" width="4" style="1054" customWidth="1"/>
    <col min="5634" max="5634" width="8" style="1054" customWidth="1"/>
    <col min="5635" max="5635" width="31.109375" style="1054" customWidth="1"/>
    <col min="5636" max="5636" width="8.33203125" style="1054" customWidth="1"/>
    <col min="5637" max="5637" width="6.5546875" style="1054" customWidth="1"/>
    <col min="5638" max="5638" width="11.109375" style="1054" customWidth="1"/>
    <col min="5639" max="5639" width="10" style="1054" customWidth="1"/>
    <col min="5640" max="5640" width="11.109375" style="1054" customWidth="1"/>
    <col min="5641" max="5641" width="8.88671875" style="1054"/>
    <col min="5642" max="5642" width="9.5546875" style="1054" bestFit="1" customWidth="1"/>
    <col min="5643" max="5643" width="8.88671875" style="1054"/>
    <col min="5644" max="5644" width="12.6640625" style="1054" customWidth="1"/>
    <col min="5645" max="5645" width="8.88671875" style="1054"/>
    <col min="5646" max="5647" width="10" style="1054" customWidth="1"/>
    <col min="5648" max="5648" width="12.5546875" style="1054" customWidth="1"/>
    <col min="5649" max="5650" width="8.88671875" style="1054"/>
    <col min="5651" max="5651" width="9.77734375" style="1054" customWidth="1"/>
    <col min="5652" max="5888" width="8.88671875" style="1054"/>
    <col min="5889" max="5889" width="4" style="1054" customWidth="1"/>
    <col min="5890" max="5890" width="8" style="1054" customWidth="1"/>
    <col min="5891" max="5891" width="31.109375" style="1054" customWidth="1"/>
    <col min="5892" max="5892" width="8.33203125" style="1054" customWidth="1"/>
    <col min="5893" max="5893" width="6.5546875" style="1054" customWidth="1"/>
    <col min="5894" max="5894" width="11.109375" style="1054" customWidth="1"/>
    <col min="5895" max="5895" width="10" style="1054" customWidth="1"/>
    <col min="5896" max="5896" width="11.109375" style="1054" customWidth="1"/>
    <col min="5897" max="5897" width="8.88671875" style="1054"/>
    <col min="5898" max="5898" width="9.5546875" style="1054" bestFit="1" customWidth="1"/>
    <col min="5899" max="5899" width="8.88671875" style="1054"/>
    <col min="5900" max="5900" width="12.6640625" style="1054" customWidth="1"/>
    <col min="5901" max="5901" width="8.88671875" style="1054"/>
    <col min="5902" max="5903" width="10" style="1054" customWidth="1"/>
    <col min="5904" max="5904" width="12.5546875" style="1054" customWidth="1"/>
    <col min="5905" max="5906" width="8.88671875" style="1054"/>
    <col min="5907" max="5907" width="9.77734375" style="1054" customWidth="1"/>
    <col min="5908" max="6144" width="8.88671875" style="1054"/>
    <col min="6145" max="6145" width="4" style="1054" customWidth="1"/>
    <col min="6146" max="6146" width="8" style="1054" customWidth="1"/>
    <col min="6147" max="6147" width="31.109375" style="1054" customWidth="1"/>
    <col min="6148" max="6148" width="8.33203125" style="1054" customWidth="1"/>
    <col min="6149" max="6149" width="6.5546875" style="1054" customWidth="1"/>
    <col min="6150" max="6150" width="11.109375" style="1054" customWidth="1"/>
    <col min="6151" max="6151" width="10" style="1054" customWidth="1"/>
    <col min="6152" max="6152" width="11.109375" style="1054" customWidth="1"/>
    <col min="6153" max="6153" width="8.88671875" style="1054"/>
    <col min="6154" max="6154" width="9.5546875" style="1054" bestFit="1" customWidth="1"/>
    <col min="6155" max="6155" width="8.88671875" style="1054"/>
    <col min="6156" max="6156" width="12.6640625" style="1054" customWidth="1"/>
    <col min="6157" max="6157" width="8.88671875" style="1054"/>
    <col min="6158" max="6159" width="10" style="1054" customWidth="1"/>
    <col min="6160" max="6160" width="12.5546875" style="1054" customWidth="1"/>
    <col min="6161" max="6162" width="8.88671875" style="1054"/>
    <col min="6163" max="6163" width="9.77734375" style="1054" customWidth="1"/>
    <col min="6164" max="6400" width="8.88671875" style="1054"/>
    <col min="6401" max="6401" width="4" style="1054" customWidth="1"/>
    <col min="6402" max="6402" width="8" style="1054" customWidth="1"/>
    <col min="6403" max="6403" width="31.109375" style="1054" customWidth="1"/>
    <col min="6404" max="6404" width="8.33203125" style="1054" customWidth="1"/>
    <col min="6405" max="6405" width="6.5546875" style="1054" customWidth="1"/>
    <col min="6406" max="6406" width="11.109375" style="1054" customWidth="1"/>
    <col min="6407" max="6407" width="10" style="1054" customWidth="1"/>
    <col min="6408" max="6408" width="11.109375" style="1054" customWidth="1"/>
    <col min="6409" max="6409" width="8.88671875" style="1054"/>
    <col min="6410" max="6410" width="9.5546875" style="1054" bestFit="1" customWidth="1"/>
    <col min="6411" max="6411" width="8.88671875" style="1054"/>
    <col min="6412" max="6412" width="12.6640625" style="1054" customWidth="1"/>
    <col min="6413" max="6413" width="8.88671875" style="1054"/>
    <col min="6414" max="6415" width="10" style="1054" customWidth="1"/>
    <col min="6416" max="6416" width="12.5546875" style="1054" customWidth="1"/>
    <col min="6417" max="6418" width="8.88671875" style="1054"/>
    <col min="6419" max="6419" width="9.77734375" style="1054" customWidth="1"/>
    <col min="6420" max="6656" width="8.88671875" style="1054"/>
    <col min="6657" max="6657" width="4" style="1054" customWidth="1"/>
    <col min="6658" max="6658" width="8" style="1054" customWidth="1"/>
    <col min="6659" max="6659" width="31.109375" style="1054" customWidth="1"/>
    <col min="6660" max="6660" width="8.33203125" style="1054" customWidth="1"/>
    <col min="6661" max="6661" width="6.5546875" style="1054" customWidth="1"/>
    <col min="6662" max="6662" width="11.109375" style="1054" customWidth="1"/>
    <col min="6663" max="6663" width="10" style="1054" customWidth="1"/>
    <col min="6664" max="6664" width="11.109375" style="1054" customWidth="1"/>
    <col min="6665" max="6665" width="8.88671875" style="1054"/>
    <col min="6666" max="6666" width="9.5546875" style="1054" bestFit="1" customWidth="1"/>
    <col min="6667" max="6667" width="8.88671875" style="1054"/>
    <col min="6668" max="6668" width="12.6640625" style="1054" customWidth="1"/>
    <col min="6669" max="6669" width="8.88671875" style="1054"/>
    <col min="6670" max="6671" width="10" style="1054" customWidth="1"/>
    <col min="6672" max="6672" width="12.5546875" style="1054" customWidth="1"/>
    <col min="6673" max="6674" width="8.88671875" style="1054"/>
    <col min="6675" max="6675" width="9.77734375" style="1054" customWidth="1"/>
    <col min="6676" max="6912" width="8.88671875" style="1054"/>
    <col min="6913" max="6913" width="4" style="1054" customWidth="1"/>
    <col min="6914" max="6914" width="8" style="1054" customWidth="1"/>
    <col min="6915" max="6915" width="31.109375" style="1054" customWidth="1"/>
    <col min="6916" max="6916" width="8.33203125" style="1054" customWidth="1"/>
    <col min="6917" max="6917" width="6.5546875" style="1054" customWidth="1"/>
    <col min="6918" max="6918" width="11.109375" style="1054" customWidth="1"/>
    <col min="6919" max="6919" width="10" style="1054" customWidth="1"/>
    <col min="6920" max="6920" width="11.109375" style="1054" customWidth="1"/>
    <col min="6921" max="6921" width="8.88671875" style="1054"/>
    <col min="6922" max="6922" width="9.5546875" style="1054" bestFit="1" customWidth="1"/>
    <col min="6923" max="6923" width="8.88671875" style="1054"/>
    <col min="6924" max="6924" width="12.6640625" style="1054" customWidth="1"/>
    <col min="6925" max="6925" width="8.88671875" style="1054"/>
    <col min="6926" max="6927" width="10" style="1054" customWidth="1"/>
    <col min="6928" max="6928" width="12.5546875" style="1054" customWidth="1"/>
    <col min="6929" max="6930" width="8.88671875" style="1054"/>
    <col min="6931" max="6931" width="9.77734375" style="1054" customWidth="1"/>
    <col min="6932" max="7168" width="8.88671875" style="1054"/>
    <col min="7169" max="7169" width="4" style="1054" customWidth="1"/>
    <col min="7170" max="7170" width="8" style="1054" customWidth="1"/>
    <col min="7171" max="7171" width="31.109375" style="1054" customWidth="1"/>
    <col min="7172" max="7172" width="8.33203125" style="1054" customWidth="1"/>
    <col min="7173" max="7173" width="6.5546875" style="1054" customWidth="1"/>
    <col min="7174" max="7174" width="11.109375" style="1054" customWidth="1"/>
    <col min="7175" max="7175" width="10" style="1054" customWidth="1"/>
    <col min="7176" max="7176" width="11.109375" style="1054" customWidth="1"/>
    <col min="7177" max="7177" width="8.88671875" style="1054"/>
    <col min="7178" max="7178" width="9.5546875" style="1054" bestFit="1" customWidth="1"/>
    <col min="7179" max="7179" width="8.88671875" style="1054"/>
    <col min="7180" max="7180" width="12.6640625" style="1054" customWidth="1"/>
    <col min="7181" max="7181" width="8.88671875" style="1054"/>
    <col min="7182" max="7183" width="10" style="1054" customWidth="1"/>
    <col min="7184" max="7184" width="12.5546875" style="1054" customWidth="1"/>
    <col min="7185" max="7186" width="8.88671875" style="1054"/>
    <col min="7187" max="7187" width="9.77734375" style="1054" customWidth="1"/>
    <col min="7188" max="7424" width="8.88671875" style="1054"/>
    <col min="7425" max="7425" width="4" style="1054" customWidth="1"/>
    <col min="7426" max="7426" width="8" style="1054" customWidth="1"/>
    <col min="7427" max="7427" width="31.109375" style="1054" customWidth="1"/>
    <col min="7428" max="7428" width="8.33203125" style="1054" customWidth="1"/>
    <col min="7429" max="7429" width="6.5546875" style="1054" customWidth="1"/>
    <col min="7430" max="7430" width="11.109375" style="1054" customWidth="1"/>
    <col min="7431" max="7431" width="10" style="1054" customWidth="1"/>
    <col min="7432" max="7432" width="11.109375" style="1054" customWidth="1"/>
    <col min="7433" max="7433" width="8.88671875" style="1054"/>
    <col min="7434" max="7434" width="9.5546875" style="1054" bestFit="1" customWidth="1"/>
    <col min="7435" max="7435" width="8.88671875" style="1054"/>
    <col min="7436" max="7436" width="12.6640625" style="1054" customWidth="1"/>
    <col min="7437" max="7437" width="8.88671875" style="1054"/>
    <col min="7438" max="7439" width="10" style="1054" customWidth="1"/>
    <col min="7440" max="7440" width="12.5546875" style="1054" customWidth="1"/>
    <col min="7441" max="7442" width="8.88671875" style="1054"/>
    <col min="7443" max="7443" width="9.77734375" style="1054" customWidth="1"/>
    <col min="7444" max="7680" width="8.88671875" style="1054"/>
    <col min="7681" max="7681" width="4" style="1054" customWidth="1"/>
    <col min="7682" max="7682" width="8" style="1054" customWidth="1"/>
    <col min="7683" max="7683" width="31.109375" style="1054" customWidth="1"/>
    <col min="7684" max="7684" width="8.33203125" style="1054" customWidth="1"/>
    <col min="7685" max="7685" width="6.5546875" style="1054" customWidth="1"/>
    <col min="7686" max="7686" width="11.109375" style="1054" customWidth="1"/>
    <col min="7687" max="7687" width="10" style="1054" customWidth="1"/>
    <col min="7688" max="7688" width="11.109375" style="1054" customWidth="1"/>
    <col min="7689" max="7689" width="8.88671875" style="1054"/>
    <col min="7690" max="7690" width="9.5546875" style="1054" bestFit="1" customWidth="1"/>
    <col min="7691" max="7691" width="8.88671875" style="1054"/>
    <col min="7692" max="7692" width="12.6640625" style="1054" customWidth="1"/>
    <col min="7693" max="7693" width="8.88671875" style="1054"/>
    <col min="7694" max="7695" width="10" style="1054" customWidth="1"/>
    <col min="7696" max="7696" width="12.5546875" style="1054" customWidth="1"/>
    <col min="7697" max="7698" width="8.88671875" style="1054"/>
    <col min="7699" max="7699" width="9.77734375" style="1054" customWidth="1"/>
    <col min="7700" max="7936" width="8.88671875" style="1054"/>
    <col min="7937" max="7937" width="4" style="1054" customWidth="1"/>
    <col min="7938" max="7938" width="8" style="1054" customWidth="1"/>
    <col min="7939" max="7939" width="31.109375" style="1054" customWidth="1"/>
    <col min="7940" max="7940" width="8.33203125" style="1054" customWidth="1"/>
    <col min="7941" max="7941" width="6.5546875" style="1054" customWidth="1"/>
    <col min="7942" max="7942" width="11.109375" style="1054" customWidth="1"/>
    <col min="7943" max="7943" width="10" style="1054" customWidth="1"/>
    <col min="7944" max="7944" width="11.109375" style="1054" customWidth="1"/>
    <col min="7945" max="7945" width="8.88671875" style="1054"/>
    <col min="7946" max="7946" width="9.5546875" style="1054" bestFit="1" customWidth="1"/>
    <col min="7947" max="7947" width="8.88671875" style="1054"/>
    <col min="7948" max="7948" width="12.6640625" style="1054" customWidth="1"/>
    <col min="7949" max="7949" width="8.88671875" style="1054"/>
    <col min="7950" max="7951" width="10" style="1054" customWidth="1"/>
    <col min="7952" max="7952" width="12.5546875" style="1054" customWidth="1"/>
    <col min="7953" max="7954" width="8.88671875" style="1054"/>
    <col min="7955" max="7955" width="9.77734375" style="1054" customWidth="1"/>
    <col min="7956" max="8192" width="8.88671875" style="1054"/>
    <col min="8193" max="8193" width="4" style="1054" customWidth="1"/>
    <col min="8194" max="8194" width="8" style="1054" customWidth="1"/>
    <col min="8195" max="8195" width="31.109375" style="1054" customWidth="1"/>
    <col min="8196" max="8196" width="8.33203125" style="1054" customWidth="1"/>
    <col min="8197" max="8197" width="6.5546875" style="1054" customWidth="1"/>
    <col min="8198" max="8198" width="11.109375" style="1054" customWidth="1"/>
    <col min="8199" max="8199" width="10" style="1054" customWidth="1"/>
    <col min="8200" max="8200" width="11.109375" style="1054" customWidth="1"/>
    <col min="8201" max="8201" width="8.88671875" style="1054"/>
    <col min="8202" max="8202" width="9.5546875" style="1054" bestFit="1" customWidth="1"/>
    <col min="8203" max="8203" width="8.88671875" style="1054"/>
    <col min="8204" max="8204" width="12.6640625" style="1054" customWidth="1"/>
    <col min="8205" max="8205" width="8.88671875" style="1054"/>
    <col min="8206" max="8207" width="10" style="1054" customWidth="1"/>
    <col min="8208" max="8208" width="12.5546875" style="1054" customWidth="1"/>
    <col min="8209" max="8210" width="8.88671875" style="1054"/>
    <col min="8211" max="8211" width="9.77734375" style="1054" customWidth="1"/>
    <col min="8212" max="8448" width="8.88671875" style="1054"/>
    <col min="8449" max="8449" width="4" style="1054" customWidth="1"/>
    <col min="8450" max="8450" width="8" style="1054" customWidth="1"/>
    <col min="8451" max="8451" width="31.109375" style="1054" customWidth="1"/>
    <col min="8452" max="8452" width="8.33203125" style="1054" customWidth="1"/>
    <col min="8453" max="8453" width="6.5546875" style="1054" customWidth="1"/>
    <col min="8454" max="8454" width="11.109375" style="1054" customWidth="1"/>
    <col min="8455" max="8455" width="10" style="1054" customWidth="1"/>
    <col min="8456" max="8456" width="11.109375" style="1054" customWidth="1"/>
    <col min="8457" max="8457" width="8.88671875" style="1054"/>
    <col min="8458" max="8458" width="9.5546875" style="1054" bestFit="1" customWidth="1"/>
    <col min="8459" max="8459" width="8.88671875" style="1054"/>
    <col min="8460" max="8460" width="12.6640625" style="1054" customWidth="1"/>
    <col min="8461" max="8461" width="8.88671875" style="1054"/>
    <col min="8462" max="8463" width="10" style="1054" customWidth="1"/>
    <col min="8464" max="8464" width="12.5546875" style="1054" customWidth="1"/>
    <col min="8465" max="8466" width="8.88671875" style="1054"/>
    <col min="8467" max="8467" width="9.77734375" style="1054" customWidth="1"/>
    <col min="8468" max="8704" width="8.88671875" style="1054"/>
    <col min="8705" max="8705" width="4" style="1054" customWidth="1"/>
    <col min="8706" max="8706" width="8" style="1054" customWidth="1"/>
    <col min="8707" max="8707" width="31.109375" style="1054" customWidth="1"/>
    <col min="8708" max="8708" width="8.33203125" style="1054" customWidth="1"/>
    <col min="8709" max="8709" width="6.5546875" style="1054" customWidth="1"/>
    <col min="8710" max="8710" width="11.109375" style="1054" customWidth="1"/>
    <col min="8711" max="8711" width="10" style="1054" customWidth="1"/>
    <col min="8712" max="8712" width="11.109375" style="1054" customWidth="1"/>
    <col min="8713" max="8713" width="8.88671875" style="1054"/>
    <col min="8714" max="8714" width="9.5546875" style="1054" bestFit="1" customWidth="1"/>
    <col min="8715" max="8715" width="8.88671875" style="1054"/>
    <col min="8716" max="8716" width="12.6640625" style="1054" customWidth="1"/>
    <col min="8717" max="8717" width="8.88671875" style="1054"/>
    <col min="8718" max="8719" width="10" style="1054" customWidth="1"/>
    <col min="8720" max="8720" width="12.5546875" style="1054" customWidth="1"/>
    <col min="8721" max="8722" width="8.88671875" style="1054"/>
    <col min="8723" max="8723" width="9.77734375" style="1054" customWidth="1"/>
    <col min="8724" max="8960" width="8.88671875" style="1054"/>
    <col min="8961" max="8961" width="4" style="1054" customWidth="1"/>
    <col min="8962" max="8962" width="8" style="1054" customWidth="1"/>
    <col min="8963" max="8963" width="31.109375" style="1054" customWidth="1"/>
    <col min="8964" max="8964" width="8.33203125" style="1054" customWidth="1"/>
    <col min="8965" max="8965" width="6.5546875" style="1054" customWidth="1"/>
    <col min="8966" max="8966" width="11.109375" style="1054" customWidth="1"/>
    <col min="8967" max="8967" width="10" style="1054" customWidth="1"/>
    <col min="8968" max="8968" width="11.109375" style="1054" customWidth="1"/>
    <col min="8969" max="8969" width="8.88671875" style="1054"/>
    <col min="8970" max="8970" width="9.5546875" style="1054" bestFit="1" customWidth="1"/>
    <col min="8971" max="8971" width="8.88671875" style="1054"/>
    <col min="8972" max="8972" width="12.6640625" style="1054" customWidth="1"/>
    <col min="8973" max="8973" width="8.88671875" style="1054"/>
    <col min="8974" max="8975" width="10" style="1054" customWidth="1"/>
    <col min="8976" max="8976" width="12.5546875" style="1054" customWidth="1"/>
    <col min="8977" max="8978" width="8.88671875" style="1054"/>
    <col min="8979" max="8979" width="9.77734375" style="1054" customWidth="1"/>
    <col min="8980" max="9216" width="8.88671875" style="1054"/>
    <col min="9217" max="9217" width="4" style="1054" customWidth="1"/>
    <col min="9218" max="9218" width="8" style="1054" customWidth="1"/>
    <col min="9219" max="9219" width="31.109375" style="1054" customWidth="1"/>
    <col min="9220" max="9220" width="8.33203125" style="1054" customWidth="1"/>
    <col min="9221" max="9221" width="6.5546875" style="1054" customWidth="1"/>
    <col min="9222" max="9222" width="11.109375" style="1054" customWidth="1"/>
    <col min="9223" max="9223" width="10" style="1054" customWidth="1"/>
    <col min="9224" max="9224" width="11.109375" style="1054" customWidth="1"/>
    <col min="9225" max="9225" width="8.88671875" style="1054"/>
    <col min="9226" max="9226" width="9.5546875" style="1054" bestFit="1" customWidth="1"/>
    <col min="9227" max="9227" width="8.88671875" style="1054"/>
    <col min="9228" max="9228" width="12.6640625" style="1054" customWidth="1"/>
    <col min="9229" max="9229" width="8.88671875" style="1054"/>
    <col min="9230" max="9231" width="10" style="1054" customWidth="1"/>
    <col min="9232" max="9232" width="12.5546875" style="1054" customWidth="1"/>
    <col min="9233" max="9234" width="8.88671875" style="1054"/>
    <col min="9235" max="9235" width="9.77734375" style="1054" customWidth="1"/>
    <col min="9236" max="9472" width="8.88671875" style="1054"/>
    <col min="9473" max="9473" width="4" style="1054" customWidth="1"/>
    <col min="9474" max="9474" width="8" style="1054" customWidth="1"/>
    <col min="9475" max="9475" width="31.109375" style="1054" customWidth="1"/>
    <col min="9476" max="9476" width="8.33203125" style="1054" customWidth="1"/>
    <col min="9477" max="9477" width="6.5546875" style="1054" customWidth="1"/>
    <col min="9478" max="9478" width="11.109375" style="1054" customWidth="1"/>
    <col min="9479" max="9479" width="10" style="1054" customWidth="1"/>
    <col min="9480" max="9480" width="11.109375" style="1054" customWidth="1"/>
    <col min="9481" max="9481" width="8.88671875" style="1054"/>
    <col min="9482" max="9482" width="9.5546875" style="1054" bestFit="1" customWidth="1"/>
    <col min="9483" max="9483" width="8.88671875" style="1054"/>
    <col min="9484" max="9484" width="12.6640625" style="1054" customWidth="1"/>
    <col min="9485" max="9485" width="8.88671875" style="1054"/>
    <col min="9486" max="9487" width="10" style="1054" customWidth="1"/>
    <col min="9488" max="9488" width="12.5546875" style="1054" customWidth="1"/>
    <col min="9489" max="9490" width="8.88671875" style="1054"/>
    <col min="9491" max="9491" width="9.77734375" style="1054" customWidth="1"/>
    <col min="9492" max="9728" width="8.88671875" style="1054"/>
    <col min="9729" max="9729" width="4" style="1054" customWidth="1"/>
    <col min="9730" max="9730" width="8" style="1054" customWidth="1"/>
    <col min="9731" max="9731" width="31.109375" style="1054" customWidth="1"/>
    <col min="9732" max="9732" width="8.33203125" style="1054" customWidth="1"/>
    <col min="9733" max="9733" width="6.5546875" style="1054" customWidth="1"/>
    <col min="9734" max="9734" width="11.109375" style="1054" customWidth="1"/>
    <col min="9735" max="9735" width="10" style="1054" customWidth="1"/>
    <col min="9736" max="9736" width="11.109375" style="1054" customWidth="1"/>
    <col min="9737" max="9737" width="8.88671875" style="1054"/>
    <col min="9738" max="9738" width="9.5546875" style="1054" bestFit="1" customWidth="1"/>
    <col min="9739" max="9739" width="8.88671875" style="1054"/>
    <col min="9740" max="9740" width="12.6640625" style="1054" customWidth="1"/>
    <col min="9741" max="9741" width="8.88671875" style="1054"/>
    <col min="9742" max="9743" width="10" style="1054" customWidth="1"/>
    <col min="9744" max="9744" width="12.5546875" style="1054" customWidth="1"/>
    <col min="9745" max="9746" width="8.88671875" style="1054"/>
    <col min="9747" max="9747" width="9.77734375" style="1054" customWidth="1"/>
    <col min="9748" max="9984" width="8.88671875" style="1054"/>
    <col min="9985" max="9985" width="4" style="1054" customWidth="1"/>
    <col min="9986" max="9986" width="8" style="1054" customWidth="1"/>
    <col min="9987" max="9987" width="31.109375" style="1054" customWidth="1"/>
    <col min="9988" max="9988" width="8.33203125" style="1054" customWidth="1"/>
    <col min="9989" max="9989" width="6.5546875" style="1054" customWidth="1"/>
    <col min="9990" max="9990" width="11.109375" style="1054" customWidth="1"/>
    <col min="9991" max="9991" width="10" style="1054" customWidth="1"/>
    <col min="9992" max="9992" width="11.109375" style="1054" customWidth="1"/>
    <col min="9993" max="9993" width="8.88671875" style="1054"/>
    <col min="9994" max="9994" width="9.5546875" style="1054" bestFit="1" customWidth="1"/>
    <col min="9995" max="9995" width="8.88671875" style="1054"/>
    <col min="9996" max="9996" width="12.6640625" style="1054" customWidth="1"/>
    <col min="9997" max="9997" width="8.88671875" style="1054"/>
    <col min="9998" max="9999" width="10" style="1054" customWidth="1"/>
    <col min="10000" max="10000" width="12.5546875" style="1054" customWidth="1"/>
    <col min="10001" max="10002" width="8.88671875" style="1054"/>
    <col min="10003" max="10003" width="9.77734375" style="1054" customWidth="1"/>
    <col min="10004" max="10240" width="8.88671875" style="1054"/>
    <col min="10241" max="10241" width="4" style="1054" customWidth="1"/>
    <col min="10242" max="10242" width="8" style="1054" customWidth="1"/>
    <col min="10243" max="10243" width="31.109375" style="1054" customWidth="1"/>
    <col min="10244" max="10244" width="8.33203125" style="1054" customWidth="1"/>
    <col min="10245" max="10245" width="6.5546875" style="1054" customWidth="1"/>
    <col min="10246" max="10246" width="11.109375" style="1054" customWidth="1"/>
    <col min="10247" max="10247" width="10" style="1054" customWidth="1"/>
    <col min="10248" max="10248" width="11.109375" style="1054" customWidth="1"/>
    <col min="10249" max="10249" width="8.88671875" style="1054"/>
    <col min="10250" max="10250" width="9.5546875" style="1054" bestFit="1" customWidth="1"/>
    <col min="10251" max="10251" width="8.88671875" style="1054"/>
    <col min="10252" max="10252" width="12.6640625" style="1054" customWidth="1"/>
    <col min="10253" max="10253" width="8.88671875" style="1054"/>
    <col min="10254" max="10255" width="10" style="1054" customWidth="1"/>
    <col min="10256" max="10256" width="12.5546875" style="1054" customWidth="1"/>
    <col min="10257" max="10258" width="8.88671875" style="1054"/>
    <col min="10259" max="10259" width="9.77734375" style="1054" customWidth="1"/>
    <col min="10260" max="10496" width="8.88671875" style="1054"/>
    <col min="10497" max="10497" width="4" style="1054" customWidth="1"/>
    <col min="10498" max="10498" width="8" style="1054" customWidth="1"/>
    <col min="10499" max="10499" width="31.109375" style="1054" customWidth="1"/>
    <col min="10500" max="10500" width="8.33203125" style="1054" customWidth="1"/>
    <col min="10501" max="10501" width="6.5546875" style="1054" customWidth="1"/>
    <col min="10502" max="10502" width="11.109375" style="1054" customWidth="1"/>
    <col min="10503" max="10503" width="10" style="1054" customWidth="1"/>
    <col min="10504" max="10504" width="11.109375" style="1054" customWidth="1"/>
    <col min="10505" max="10505" width="8.88671875" style="1054"/>
    <col min="10506" max="10506" width="9.5546875" style="1054" bestFit="1" customWidth="1"/>
    <col min="10507" max="10507" width="8.88671875" style="1054"/>
    <col min="10508" max="10508" width="12.6640625" style="1054" customWidth="1"/>
    <col min="10509" max="10509" width="8.88671875" style="1054"/>
    <col min="10510" max="10511" width="10" style="1054" customWidth="1"/>
    <col min="10512" max="10512" width="12.5546875" style="1054" customWidth="1"/>
    <col min="10513" max="10514" width="8.88671875" style="1054"/>
    <col min="10515" max="10515" width="9.77734375" style="1054" customWidth="1"/>
    <col min="10516" max="10752" width="8.88671875" style="1054"/>
    <col min="10753" max="10753" width="4" style="1054" customWidth="1"/>
    <col min="10754" max="10754" width="8" style="1054" customWidth="1"/>
    <col min="10755" max="10755" width="31.109375" style="1054" customWidth="1"/>
    <col min="10756" max="10756" width="8.33203125" style="1054" customWidth="1"/>
    <col min="10757" max="10757" width="6.5546875" style="1054" customWidth="1"/>
    <col min="10758" max="10758" width="11.109375" style="1054" customWidth="1"/>
    <col min="10759" max="10759" width="10" style="1054" customWidth="1"/>
    <col min="10760" max="10760" width="11.109375" style="1054" customWidth="1"/>
    <col min="10761" max="10761" width="8.88671875" style="1054"/>
    <col min="10762" max="10762" width="9.5546875" style="1054" bestFit="1" customWidth="1"/>
    <col min="10763" max="10763" width="8.88671875" style="1054"/>
    <col min="10764" max="10764" width="12.6640625" style="1054" customWidth="1"/>
    <col min="10765" max="10765" width="8.88671875" style="1054"/>
    <col min="10766" max="10767" width="10" style="1054" customWidth="1"/>
    <col min="10768" max="10768" width="12.5546875" style="1054" customWidth="1"/>
    <col min="10769" max="10770" width="8.88671875" style="1054"/>
    <col min="10771" max="10771" width="9.77734375" style="1054" customWidth="1"/>
    <col min="10772" max="11008" width="8.88671875" style="1054"/>
    <col min="11009" max="11009" width="4" style="1054" customWidth="1"/>
    <col min="11010" max="11010" width="8" style="1054" customWidth="1"/>
    <col min="11011" max="11011" width="31.109375" style="1054" customWidth="1"/>
    <col min="11012" max="11012" width="8.33203125" style="1054" customWidth="1"/>
    <col min="11013" max="11013" width="6.5546875" style="1054" customWidth="1"/>
    <col min="11014" max="11014" width="11.109375" style="1054" customWidth="1"/>
    <col min="11015" max="11015" width="10" style="1054" customWidth="1"/>
    <col min="11016" max="11016" width="11.109375" style="1054" customWidth="1"/>
    <col min="11017" max="11017" width="8.88671875" style="1054"/>
    <col min="11018" max="11018" width="9.5546875" style="1054" bestFit="1" customWidth="1"/>
    <col min="11019" max="11019" width="8.88671875" style="1054"/>
    <col min="11020" max="11020" width="12.6640625" style="1054" customWidth="1"/>
    <col min="11021" max="11021" width="8.88671875" style="1054"/>
    <col min="11022" max="11023" width="10" style="1054" customWidth="1"/>
    <col min="11024" max="11024" width="12.5546875" style="1054" customWidth="1"/>
    <col min="11025" max="11026" width="8.88671875" style="1054"/>
    <col min="11027" max="11027" width="9.77734375" style="1054" customWidth="1"/>
    <col min="11028" max="11264" width="8.88671875" style="1054"/>
    <col min="11265" max="11265" width="4" style="1054" customWidth="1"/>
    <col min="11266" max="11266" width="8" style="1054" customWidth="1"/>
    <col min="11267" max="11267" width="31.109375" style="1054" customWidth="1"/>
    <col min="11268" max="11268" width="8.33203125" style="1054" customWidth="1"/>
    <col min="11269" max="11269" width="6.5546875" style="1054" customWidth="1"/>
    <col min="11270" max="11270" width="11.109375" style="1054" customWidth="1"/>
    <col min="11271" max="11271" width="10" style="1054" customWidth="1"/>
    <col min="11272" max="11272" width="11.109375" style="1054" customWidth="1"/>
    <col min="11273" max="11273" width="8.88671875" style="1054"/>
    <col min="11274" max="11274" width="9.5546875" style="1054" bestFit="1" customWidth="1"/>
    <col min="11275" max="11275" width="8.88671875" style="1054"/>
    <col min="11276" max="11276" width="12.6640625" style="1054" customWidth="1"/>
    <col min="11277" max="11277" width="8.88671875" style="1054"/>
    <col min="11278" max="11279" width="10" style="1054" customWidth="1"/>
    <col min="11280" max="11280" width="12.5546875" style="1054" customWidth="1"/>
    <col min="11281" max="11282" width="8.88671875" style="1054"/>
    <col min="11283" max="11283" width="9.77734375" style="1054" customWidth="1"/>
    <col min="11284" max="11520" width="8.88671875" style="1054"/>
    <col min="11521" max="11521" width="4" style="1054" customWidth="1"/>
    <col min="11522" max="11522" width="8" style="1054" customWidth="1"/>
    <col min="11523" max="11523" width="31.109375" style="1054" customWidth="1"/>
    <col min="11524" max="11524" width="8.33203125" style="1054" customWidth="1"/>
    <col min="11525" max="11525" width="6.5546875" style="1054" customWidth="1"/>
    <col min="11526" max="11526" width="11.109375" style="1054" customWidth="1"/>
    <col min="11527" max="11527" width="10" style="1054" customWidth="1"/>
    <col min="11528" max="11528" width="11.109375" style="1054" customWidth="1"/>
    <col min="11529" max="11529" width="8.88671875" style="1054"/>
    <col min="11530" max="11530" width="9.5546875" style="1054" bestFit="1" customWidth="1"/>
    <col min="11531" max="11531" width="8.88671875" style="1054"/>
    <col min="11532" max="11532" width="12.6640625" style="1054" customWidth="1"/>
    <col min="11533" max="11533" width="8.88671875" style="1054"/>
    <col min="11534" max="11535" width="10" style="1054" customWidth="1"/>
    <col min="11536" max="11536" width="12.5546875" style="1054" customWidth="1"/>
    <col min="11537" max="11538" width="8.88671875" style="1054"/>
    <col min="11539" max="11539" width="9.77734375" style="1054" customWidth="1"/>
    <col min="11540" max="11776" width="8.88671875" style="1054"/>
    <col min="11777" max="11777" width="4" style="1054" customWidth="1"/>
    <col min="11778" max="11778" width="8" style="1054" customWidth="1"/>
    <col min="11779" max="11779" width="31.109375" style="1054" customWidth="1"/>
    <col min="11780" max="11780" width="8.33203125" style="1054" customWidth="1"/>
    <col min="11781" max="11781" width="6.5546875" style="1054" customWidth="1"/>
    <col min="11782" max="11782" width="11.109375" style="1054" customWidth="1"/>
    <col min="11783" max="11783" width="10" style="1054" customWidth="1"/>
    <col min="11784" max="11784" width="11.109375" style="1054" customWidth="1"/>
    <col min="11785" max="11785" width="8.88671875" style="1054"/>
    <col min="11786" max="11786" width="9.5546875" style="1054" bestFit="1" customWidth="1"/>
    <col min="11787" max="11787" width="8.88671875" style="1054"/>
    <col min="11788" max="11788" width="12.6640625" style="1054" customWidth="1"/>
    <col min="11789" max="11789" width="8.88671875" style="1054"/>
    <col min="11790" max="11791" width="10" style="1054" customWidth="1"/>
    <col min="11792" max="11792" width="12.5546875" style="1054" customWidth="1"/>
    <col min="11793" max="11794" width="8.88671875" style="1054"/>
    <col min="11795" max="11795" width="9.77734375" style="1054" customWidth="1"/>
    <col min="11796" max="12032" width="8.88671875" style="1054"/>
    <col min="12033" max="12033" width="4" style="1054" customWidth="1"/>
    <col min="12034" max="12034" width="8" style="1054" customWidth="1"/>
    <col min="12035" max="12035" width="31.109375" style="1054" customWidth="1"/>
    <col min="12036" max="12036" width="8.33203125" style="1054" customWidth="1"/>
    <col min="12037" max="12037" width="6.5546875" style="1054" customWidth="1"/>
    <col min="12038" max="12038" width="11.109375" style="1054" customWidth="1"/>
    <col min="12039" max="12039" width="10" style="1054" customWidth="1"/>
    <col min="12040" max="12040" width="11.109375" style="1054" customWidth="1"/>
    <col min="12041" max="12041" width="8.88671875" style="1054"/>
    <col min="12042" max="12042" width="9.5546875" style="1054" bestFit="1" customWidth="1"/>
    <col min="12043" max="12043" width="8.88671875" style="1054"/>
    <col min="12044" max="12044" width="12.6640625" style="1054" customWidth="1"/>
    <col min="12045" max="12045" width="8.88671875" style="1054"/>
    <col min="12046" max="12047" width="10" style="1054" customWidth="1"/>
    <col min="12048" max="12048" width="12.5546875" style="1054" customWidth="1"/>
    <col min="12049" max="12050" width="8.88671875" style="1054"/>
    <col min="12051" max="12051" width="9.77734375" style="1054" customWidth="1"/>
    <col min="12052" max="12288" width="8.88671875" style="1054"/>
    <col min="12289" max="12289" width="4" style="1054" customWidth="1"/>
    <col min="12290" max="12290" width="8" style="1054" customWidth="1"/>
    <col min="12291" max="12291" width="31.109375" style="1054" customWidth="1"/>
    <col min="12292" max="12292" width="8.33203125" style="1054" customWidth="1"/>
    <col min="12293" max="12293" width="6.5546875" style="1054" customWidth="1"/>
    <col min="12294" max="12294" width="11.109375" style="1054" customWidth="1"/>
    <col min="12295" max="12295" width="10" style="1054" customWidth="1"/>
    <col min="12296" max="12296" width="11.109375" style="1054" customWidth="1"/>
    <col min="12297" max="12297" width="8.88671875" style="1054"/>
    <col min="12298" max="12298" width="9.5546875" style="1054" bestFit="1" customWidth="1"/>
    <col min="12299" max="12299" width="8.88671875" style="1054"/>
    <col min="12300" max="12300" width="12.6640625" style="1054" customWidth="1"/>
    <col min="12301" max="12301" width="8.88671875" style="1054"/>
    <col min="12302" max="12303" width="10" style="1054" customWidth="1"/>
    <col min="12304" max="12304" width="12.5546875" style="1054" customWidth="1"/>
    <col min="12305" max="12306" width="8.88671875" style="1054"/>
    <col min="12307" max="12307" width="9.77734375" style="1054" customWidth="1"/>
    <col min="12308" max="12544" width="8.88671875" style="1054"/>
    <col min="12545" max="12545" width="4" style="1054" customWidth="1"/>
    <col min="12546" max="12546" width="8" style="1054" customWidth="1"/>
    <col min="12547" max="12547" width="31.109375" style="1054" customWidth="1"/>
    <col min="12548" max="12548" width="8.33203125" style="1054" customWidth="1"/>
    <col min="12549" max="12549" width="6.5546875" style="1054" customWidth="1"/>
    <col min="12550" max="12550" width="11.109375" style="1054" customWidth="1"/>
    <col min="12551" max="12551" width="10" style="1054" customWidth="1"/>
    <col min="12552" max="12552" width="11.109375" style="1054" customWidth="1"/>
    <col min="12553" max="12553" width="8.88671875" style="1054"/>
    <col min="12554" max="12554" width="9.5546875" style="1054" bestFit="1" customWidth="1"/>
    <col min="12555" max="12555" width="8.88671875" style="1054"/>
    <col min="12556" max="12556" width="12.6640625" style="1054" customWidth="1"/>
    <col min="12557" max="12557" width="8.88671875" style="1054"/>
    <col min="12558" max="12559" width="10" style="1054" customWidth="1"/>
    <col min="12560" max="12560" width="12.5546875" style="1054" customWidth="1"/>
    <col min="12561" max="12562" width="8.88671875" style="1054"/>
    <col min="12563" max="12563" width="9.77734375" style="1054" customWidth="1"/>
    <col min="12564" max="12800" width="8.88671875" style="1054"/>
    <col min="12801" max="12801" width="4" style="1054" customWidth="1"/>
    <col min="12802" max="12802" width="8" style="1054" customWidth="1"/>
    <col min="12803" max="12803" width="31.109375" style="1054" customWidth="1"/>
    <col min="12804" max="12804" width="8.33203125" style="1054" customWidth="1"/>
    <col min="12805" max="12805" width="6.5546875" style="1054" customWidth="1"/>
    <col min="12806" max="12806" width="11.109375" style="1054" customWidth="1"/>
    <col min="12807" max="12807" width="10" style="1054" customWidth="1"/>
    <col min="12808" max="12808" width="11.109375" style="1054" customWidth="1"/>
    <col min="12809" max="12809" width="8.88671875" style="1054"/>
    <col min="12810" max="12810" width="9.5546875" style="1054" bestFit="1" customWidth="1"/>
    <col min="12811" max="12811" width="8.88671875" style="1054"/>
    <col min="12812" max="12812" width="12.6640625" style="1054" customWidth="1"/>
    <col min="12813" max="12813" width="8.88671875" style="1054"/>
    <col min="12814" max="12815" width="10" style="1054" customWidth="1"/>
    <col min="12816" max="12816" width="12.5546875" style="1054" customWidth="1"/>
    <col min="12817" max="12818" width="8.88671875" style="1054"/>
    <col min="12819" max="12819" width="9.77734375" style="1054" customWidth="1"/>
    <col min="12820" max="13056" width="8.88671875" style="1054"/>
    <col min="13057" max="13057" width="4" style="1054" customWidth="1"/>
    <col min="13058" max="13058" width="8" style="1054" customWidth="1"/>
    <col min="13059" max="13059" width="31.109375" style="1054" customWidth="1"/>
    <col min="13060" max="13060" width="8.33203125" style="1054" customWidth="1"/>
    <col min="13061" max="13061" width="6.5546875" style="1054" customWidth="1"/>
    <col min="13062" max="13062" width="11.109375" style="1054" customWidth="1"/>
    <col min="13063" max="13063" width="10" style="1054" customWidth="1"/>
    <col min="13064" max="13064" width="11.109375" style="1054" customWidth="1"/>
    <col min="13065" max="13065" width="8.88671875" style="1054"/>
    <col min="13066" max="13066" width="9.5546875" style="1054" bestFit="1" customWidth="1"/>
    <col min="13067" max="13067" width="8.88671875" style="1054"/>
    <col min="13068" max="13068" width="12.6640625" style="1054" customWidth="1"/>
    <col min="13069" max="13069" width="8.88671875" style="1054"/>
    <col min="13070" max="13071" width="10" style="1054" customWidth="1"/>
    <col min="13072" max="13072" width="12.5546875" style="1054" customWidth="1"/>
    <col min="13073" max="13074" width="8.88671875" style="1054"/>
    <col min="13075" max="13075" width="9.77734375" style="1054" customWidth="1"/>
    <col min="13076" max="13312" width="8.88671875" style="1054"/>
    <col min="13313" max="13313" width="4" style="1054" customWidth="1"/>
    <col min="13314" max="13314" width="8" style="1054" customWidth="1"/>
    <col min="13315" max="13315" width="31.109375" style="1054" customWidth="1"/>
    <col min="13316" max="13316" width="8.33203125" style="1054" customWidth="1"/>
    <col min="13317" max="13317" width="6.5546875" style="1054" customWidth="1"/>
    <col min="13318" max="13318" width="11.109375" style="1054" customWidth="1"/>
    <col min="13319" max="13319" width="10" style="1054" customWidth="1"/>
    <col min="13320" max="13320" width="11.109375" style="1054" customWidth="1"/>
    <col min="13321" max="13321" width="8.88671875" style="1054"/>
    <col min="13322" max="13322" width="9.5546875" style="1054" bestFit="1" customWidth="1"/>
    <col min="13323" max="13323" width="8.88671875" style="1054"/>
    <col min="13324" max="13324" width="12.6640625" style="1054" customWidth="1"/>
    <col min="13325" max="13325" width="8.88671875" style="1054"/>
    <col min="13326" max="13327" width="10" style="1054" customWidth="1"/>
    <col min="13328" max="13328" width="12.5546875" style="1054" customWidth="1"/>
    <col min="13329" max="13330" width="8.88671875" style="1054"/>
    <col min="13331" max="13331" width="9.77734375" style="1054" customWidth="1"/>
    <col min="13332" max="13568" width="8.88671875" style="1054"/>
    <col min="13569" max="13569" width="4" style="1054" customWidth="1"/>
    <col min="13570" max="13570" width="8" style="1054" customWidth="1"/>
    <col min="13571" max="13571" width="31.109375" style="1054" customWidth="1"/>
    <col min="13572" max="13572" width="8.33203125" style="1054" customWidth="1"/>
    <col min="13573" max="13573" width="6.5546875" style="1054" customWidth="1"/>
    <col min="13574" max="13574" width="11.109375" style="1054" customWidth="1"/>
    <col min="13575" max="13575" width="10" style="1054" customWidth="1"/>
    <col min="13576" max="13576" width="11.109375" style="1054" customWidth="1"/>
    <col min="13577" max="13577" width="8.88671875" style="1054"/>
    <col min="13578" max="13578" width="9.5546875" style="1054" bestFit="1" customWidth="1"/>
    <col min="13579" max="13579" width="8.88671875" style="1054"/>
    <col min="13580" max="13580" width="12.6640625" style="1054" customWidth="1"/>
    <col min="13581" max="13581" width="8.88671875" style="1054"/>
    <col min="13582" max="13583" width="10" style="1054" customWidth="1"/>
    <col min="13584" max="13584" width="12.5546875" style="1054" customWidth="1"/>
    <col min="13585" max="13586" width="8.88671875" style="1054"/>
    <col min="13587" max="13587" width="9.77734375" style="1054" customWidth="1"/>
    <col min="13588" max="13824" width="8.88671875" style="1054"/>
    <col min="13825" max="13825" width="4" style="1054" customWidth="1"/>
    <col min="13826" max="13826" width="8" style="1054" customWidth="1"/>
    <col min="13827" max="13827" width="31.109375" style="1054" customWidth="1"/>
    <col min="13828" max="13828" width="8.33203125" style="1054" customWidth="1"/>
    <col min="13829" max="13829" width="6.5546875" style="1054" customWidth="1"/>
    <col min="13830" max="13830" width="11.109375" style="1054" customWidth="1"/>
    <col min="13831" max="13831" width="10" style="1054" customWidth="1"/>
    <col min="13832" max="13832" width="11.109375" style="1054" customWidth="1"/>
    <col min="13833" max="13833" width="8.88671875" style="1054"/>
    <col min="13834" max="13834" width="9.5546875" style="1054" bestFit="1" customWidth="1"/>
    <col min="13835" max="13835" width="8.88671875" style="1054"/>
    <col min="13836" max="13836" width="12.6640625" style="1054" customWidth="1"/>
    <col min="13837" max="13837" width="8.88671875" style="1054"/>
    <col min="13838" max="13839" width="10" style="1054" customWidth="1"/>
    <col min="13840" max="13840" width="12.5546875" style="1054" customWidth="1"/>
    <col min="13841" max="13842" width="8.88671875" style="1054"/>
    <col min="13843" max="13843" width="9.77734375" style="1054" customWidth="1"/>
    <col min="13844" max="14080" width="8.88671875" style="1054"/>
    <col min="14081" max="14081" width="4" style="1054" customWidth="1"/>
    <col min="14082" max="14082" width="8" style="1054" customWidth="1"/>
    <col min="14083" max="14083" width="31.109375" style="1054" customWidth="1"/>
    <col min="14084" max="14084" width="8.33203125" style="1054" customWidth="1"/>
    <col min="14085" max="14085" width="6.5546875" style="1054" customWidth="1"/>
    <col min="14086" max="14086" width="11.109375" style="1054" customWidth="1"/>
    <col min="14087" max="14087" width="10" style="1054" customWidth="1"/>
    <col min="14088" max="14088" width="11.109375" style="1054" customWidth="1"/>
    <col min="14089" max="14089" width="8.88671875" style="1054"/>
    <col min="14090" max="14090" width="9.5546875" style="1054" bestFit="1" customWidth="1"/>
    <col min="14091" max="14091" width="8.88671875" style="1054"/>
    <col min="14092" max="14092" width="12.6640625" style="1054" customWidth="1"/>
    <col min="14093" max="14093" width="8.88671875" style="1054"/>
    <col min="14094" max="14095" width="10" style="1054" customWidth="1"/>
    <col min="14096" max="14096" width="12.5546875" style="1054" customWidth="1"/>
    <col min="14097" max="14098" width="8.88671875" style="1054"/>
    <col min="14099" max="14099" width="9.77734375" style="1054" customWidth="1"/>
    <col min="14100" max="14336" width="8.88671875" style="1054"/>
    <col min="14337" max="14337" width="4" style="1054" customWidth="1"/>
    <col min="14338" max="14338" width="8" style="1054" customWidth="1"/>
    <col min="14339" max="14339" width="31.109375" style="1054" customWidth="1"/>
    <col min="14340" max="14340" width="8.33203125" style="1054" customWidth="1"/>
    <col min="14341" max="14341" width="6.5546875" style="1054" customWidth="1"/>
    <col min="14342" max="14342" width="11.109375" style="1054" customWidth="1"/>
    <col min="14343" max="14343" width="10" style="1054" customWidth="1"/>
    <col min="14344" max="14344" width="11.109375" style="1054" customWidth="1"/>
    <col min="14345" max="14345" width="8.88671875" style="1054"/>
    <col min="14346" max="14346" width="9.5546875" style="1054" bestFit="1" customWidth="1"/>
    <col min="14347" max="14347" width="8.88671875" style="1054"/>
    <col min="14348" max="14348" width="12.6640625" style="1054" customWidth="1"/>
    <col min="14349" max="14349" width="8.88671875" style="1054"/>
    <col min="14350" max="14351" width="10" style="1054" customWidth="1"/>
    <col min="14352" max="14352" width="12.5546875" style="1054" customWidth="1"/>
    <col min="14353" max="14354" width="8.88671875" style="1054"/>
    <col min="14355" max="14355" width="9.77734375" style="1054" customWidth="1"/>
    <col min="14356" max="14592" width="8.88671875" style="1054"/>
    <col min="14593" max="14593" width="4" style="1054" customWidth="1"/>
    <col min="14594" max="14594" width="8" style="1054" customWidth="1"/>
    <col min="14595" max="14595" width="31.109375" style="1054" customWidth="1"/>
    <col min="14596" max="14596" width="8.33203125" style="1054" customWidth="1"/>
    <col min="14597" max="14597" width="6.5546875" style="1054" customWidth="1"/>
    <col min="14598" max="14598" width="11.109375" style="1054" customWidth="1"/>
    <col min="14599" max="14599" width="10" style="1054" customWidth="1"/>
    <col min="14600" max="14600" width="11.109375" style="1054" customWidth="1"/>
    <col min="14601" max="14601" width="8.88671875" style="1054"/>
    <col min="14602" max="14602" width="9.5546875" style="1054" bestFit="1" customWidth="1"/>
    <col min="14603" max="14603" width="8.88671875" style="1054"/>
    <col min="14604" max="14604" width="12.6640625" style="1054" customWidth="1"/>
    <col min="14605" max="14605" width="8.88671875" style="1054"/>
    <col min="14606" max="14607" width="10" style="1054" customWidth="1"/>
    <col min="14608" max="14608" width="12.5546875" style="1054" customWidth="1"/>
    <col min="14609" max="14610" width="8.88671875" style="1054"/>
    <col min="14611" max="14611" width="9.77734375" style="1054" customWidth="1"/>
    <col min="14612" max="14848" width="8.88671875" style="1054"/>
    <col min="14849" max="14849" width="4" style="1054" customWidth="1"/>
    <col min="14850" max="14850" width="8" style="1054" customWidth="1"/>
    <col min="14851" max="14851" width="31.109375" style="1054" customWidth="1"/>
    <col min="14852" max="14852" width="8.33203125" style="1054" customWidth="1"/>
    <col min="14853" max="14853" width="6.5546875" style="1054" customWidth="1"/>
    <col min="14854" max="14854" width="11.109375" style="1054" customWidth="1"/>
    <col min="14855" max="14855" width="10" style="1054" customWidth="1"/>
    <col min="14856" max="14856" width="11.109375" style="1054" customWidth="1"/>
    <col min="14857" max="14857" width="8.88671875" style="1054"/>
    <col min="14858" max="14858" width="9.5546875" style="1054" bestFit="1" customWidth="1"/>
    <col min="14859" max="14859" width="8.88671875" style="1054"/>
    <col min="14860" max="14860" width="12.6640625" style="1054" customWidth="1"/>
    <col min="14861" max="14861" width="8.88671875" style="1054"/>
    <col min="14862" max="14863" width="10" style="1054" customWidth="1"/>
    <col min="14864" max="14864" width="12.5546875" style="1054" customWidth="1"/>
    <col min="14865" max="14866" width="8.88671875" style="1054"/>
    <col min="14867" max="14867" width="9.77734375" style="1054" customWidth="1"/>
    <col min="14868" max="15104" width="8.88671875" style="1054"/>
    <col min="15105" max="15105" width="4" style="1054" customWidth="1"/>
    <col min="15106" max="15106" width="8" style="1054" customWidth="1"/>
    <col min="15107" max="15107" width="31.109375" style="1054" customWidth="1"/>
    <col min="15108" max="15108" width="8.33203125" style="1054" customWidth="1"/>
    <col min="15109" max="15109" width="6.5546875" style="1054" customWidth="1"/>
    <col min="15110" max="15110" width="11.109375" style="1054" customWidth="1"/>
    <col min="15111" max="15111" width="10" style="1054" customWidth="1"/>
    <col min="15112" max="15112" width="11.109375" style="1054" customWidth="1"/>
    <col min="15113" max="15113" width="8.88671875" style="1054"/>
    <col min="15114" max="15114" width="9.5546875" style="1054" bestFit="1" customWidth="1"/>
    <col min="15115" max="15115" width="8.88671875" style="1054"/>
    <col min="15116" max="15116" width="12.6640625" style="1054" customWidth="1"/>
    <col min="15117" max="15117" width="8.88671875" style="1054"/>
    <col min="15118" max="15119" width="10" style="1054" customWidth="1"/>
    <col min="15120" max="15120" width="12.5546875" style="1054" customWidth="1"/>
    <col min="15121" max="15122" width="8.88671875" style="1054"/>
    <col min="15123" max="15123" width="9.77734375" style="1054" customWidth="1"/>
    <col min="15124" max="15360" width="8.88671875" style="1054"/>
    <col min="15361" max="15361" width="4" style="1054" customWidth="1"/>
    <col min="15362" max="15362" width="8" style="1054" customWidth="1"/>
    <col min="15363" max="15363" width="31.109375" style="1054" customWidth="1"/>
    <col min="15364" max="15364" width="8.33203125" style="1054" customWidth="1"/>
    <col min="15365" max="15365" width="6.5546875" style="1054" customWidth="1"/>
    <col min="15366" max="15366" width="11.109375" style="1054" customWidth="1"/>
    <col min="15367" max="15367" width="10" style="1054" customWidth="1"/>
    <col min="15368" max="15368" width="11.109375" style="1054" customWidth="1"/>
    <col min="15369" max="15369" width="8.88671875" style="1054"/>
    <col min="15370" max="15370" width="9.5546875" style="1054" bestFit="1" customWidth="1"/>
    <col min="15371" max="15371" width="8.88671875" style="1054"/>
    <col min="15372" max="15372" width="12.6640625" style="1054" customWidth="1"/>
    <col min="15373" max="15373" width="8.88671875" style="1054"/>
    <col min="15374" max="15375" width="10" style="1054" customWidth="1"/>
    <col min="15376" max="15376" width="12.5546875" style="1054" customWidth="1"/>
    <col min="15377" max="15378" width="8.88671875" style="1054"/>
    <col min="15379" max="15379" width="9.77734375" style="1054" customWidth="1"/>
    <col min="15380" max="15616" width="8.88671875" style="1054"/>
    <col min="15617" max="15617" width="4" style="1054" customWidth="1"/>
    <col min="15618" max="15618" width="8" style="1054" customWidth="1"/>
    <col min="15619" max="15619" width="31.109375" style="1054" customWidth="1"/>
    <col min="15620" max="15620" width="8.33203125" style="1054" customWidth="1"/>
    <col min="15621" max="15621" width="6.5546875" style="1054" customWidth="1"/>
    <col min="15622" max="15622" width="11.109375" style="1054" customWidth="1"/>
    <col min="15623" max="15623" width="10" style="1054" customWidth="1"/>
    <col min="15624" max="15624" width="11.109375" style="1054" customWidth="1"/>
    <col min="15625" max="15625" width="8.88671875" style="1054"/>
    <col min="15626" max="15626" width="9.5546875" style="1054" bestFit="1" customWidth="1"/>
    <col min="15627" max="15627" width="8.88671875" style="1054"/>
    <col min="15628" max="15628" width="12.6640625" style="1054" customWidth="1"/>
    <col min="15629" max="15629" width="8.88671875" style="1054"/>
    <col min="15630" max="15631" width="10" style="1054" customWidth="1"/>
    <col min="15632" max="15632" width="12.5546875" style="1054" customWidth="1"/>
    <col min="15633" max="15634" width="8.88671875" style="1054"/>
    <col min="15635" max="15635" width="9.77734375" style="1054" customWidth="1"/>
    <col min="15636" max="15872" width="8.88671875" style="1054"/>
    <col min="15873" max="15873" width="4" style="1054" customWidth="1"/>
    <col min="15874" max="15874" width="8" style="1054" customWidth="1"/>
    <col min="15875" max="15875" width="31.109375" style="1054" customWidth="1"/>
    <col min="15876" max="15876" width="8.33203125" style="1054" customWidth="1"/>
    <col min="15877" max="15877" width="6.5546875" style="1054" customWidth="1"/>
    <col min="15878" max="15878" width="11.109375" style="1054" customWidth="1"/>
    <col min="15879" max="15879" width="10" style="1054" customWidth="1"/>
    <col min="15880" max="15880" width="11.109375" style="1054" customWidth="1"/>
    <col min="15881" max="15881" width="8.88671875" style="1054"/>
    <col min="15882" max="15882" width="9.5546875" style="1054" bestFit="1" customWidth="1"/>
    <col min="15883" max="15883" width="8.88671875" style="1054"/>
    <col min="15884" max="15884" width="12.6640625" style="1054" customWidth="1"/>
    <col min="15885" max="15885" width="8.88671875" style="1054"/>
    <col min="15886" max="15887" width="10" style="1054" customWidth="1"/>
    <col min="15888" max="15888" width="12.5546875" style="1054" customWidth="1"/>
    <col min="15889" max="15890" width="8.88671875" style="1054"/>
    <col min="15891" max="15891" width="9.77734375" style="1054" customWidth="1"/>
    <col min="15892" max="16128" width="8.88671875" style="1054"/>
    <col min="16129" max="16129" width="4" style="1054" customWidth="1"/>
    <col min="16130" max="16130" width="8" style="1054" customWidth="1"/>
    <col min="16131" max="16131" width="31.109375" style="1054" customWidth="1"/>
    <col min="16132" max="16132" width="8.33203125" style="1054" customWidth="1"/>
    <col min="16133" max="16133" width="6.5546875" style="1054" customWidth="1"/>
    <col min="16134" max="16134" width="11.109375" style="1054" customWidth="1"/>
    <col min="16135" max="16135" width="10" style="1054" customWidth="1"/>
    <col min="16136" max="16136" width="11.109375" style="1054" customWidth="1"/>
    <col min="16137" max="16137" width="8.88671875" style="1054"/>
    <col min="16138" max="16138" width="9.5546875" style="1054" bestFit="1" customWidth="1"/>
    <col min="16139" max="16139" width="8.88671875" style="1054"/>
    <col min="16140" max="16140" width="12.6640625" style="1054" customWidth="1"/>
    <col min="16141" max="16141" width="8.88671875" style="1054"/>
    <col min="16142" max="16143" width="10" style="1054" customWidth="1"/>
    <col min="16144" max="16144" width="12.5546875" style="1054" customWidth="1"/>
    <col min="16145" max="16146" width="8.88671875" style="1054"/>
    <col min="16147" max="16147" width="9.77734375" style="1054" customWidth="1"/>
    <col min="16148" max="16384" width="8.88671875" style="1054"/>
  </cols>
  <sheetData>
    <row r="1" spans="1:9" ht="21.75" customHeight="1">
      <c r="A1" s="1186" t="s">
        <v>6379</v>
      </c>
      <c r="B1" s="1186"/>
      <c r="C1" s="1186"/>
      <c r="D1" s="1186"/>
      <c r="E1" s="1186"/>
      <c r="F1" s="1186"/>
    </row>
    <row r="2" spans="1:9" ht="21" customHeight="1">
      <c r="A2" s="1186" t="s">
        <v>6380</v>
      </c>
      <c r="B2" s="1186"/>
      <c r="C2" s="1186"/>
      <c r="D2" s="1186"/>
      <c r="E2" s="1186"/>
      <c r="F2" s="1186"/>
    </row>
    <row r="3" spans="1:9" ht="12" customHeight="1">
      <c r="A3" s="1055"/>
      <c r="B3" s="1056"/>
      <c r="C3" s="1057"/>
      <c r="D3" s="1058"/>
      <c r="E3" s="1059"/>
      <c r="F3" s="1056"/>
    </row>
    <row r="4" spans="1:9" ht="28.5" customHeight="1">
      <c r="A4" s="1187" t="s">
        <v>6372</v>
      </c>
      <c r="B4" s="1188"/>
      <c r="C4" s="1188"/>
      <c r="D4" s="1188"/>
      <c r="E4" s="1188"/>
      <c r="F4" s="1188"/>
    </row>
    <row r="5" spans="1:9" ht="35.25" customHeight="1">
      <c r="A5" s="1189" t="s">
        <v>6381</v>
      </c>
      <c r="B5" s="1189"/>
      <c r="C5" s="1190" t="s">
        <v>6382</v>
      </c>
      <c r="D5" s="1190"/>
      <c r="E5" s="1190"/>
      <c r="F5" s="1190"/>
      <c r="G5" s="1060"/>
      <c r="H5" s="1060"/>
      <c r="I5" s="1060"/>
    </row>
    <row r="6" spans="1:9" ht="19.5" customHeight="1">
      <c r="A6" s="1099" t="s">
        <v>6383</v>
      </c>
      <c r="B6" s="1100" t="s">
        <v>1038</v>
      </c>
      <c r="C6" s="1100" t="s">
        <v>1777</v>
      </c>
      <c r="D6" s="1101" t="s">
        <v>97</v>
      </c>
      <c r="E6" s="1102" t="s">
        <v>222</v>
      </c>
      <c r="F6" s="1103" t="s">
        <v>974</v>
      </c>
    </row>
    <row r="7" spans="1:9" ht="120" customHeight="1">
      <c r="A7" s="1104">
        <v>1</v>
      </c>
      <c r="B7" s="1105">
        <f>details!H15</f>
        <v>56</v>
      </c>
      <c r="C7" s="1106" t="s">
        <v>6384</v>
      </c>
      <c r="D7" s="1107">
        <f>building!C339</f>
        <v>1192.5999999999999</v>
      </c>
      <c r="E7" s="1108" t="s">
        <v>2283</v>
      </c>
      <c r="F7" s="1105">
        <f>B7*D7</f>
        <v>66785.600000000006</v>
      </c>
    </row>
    <row r="8" spans="1:9" ht="135" customHeight="1">
      <c r="A8" s="1104">
        <v>2</v>
      </c>
      <c r="B8" s="1105"/>
      <c r="C8" s="1106" t="s">
        <v>6385</v>
      </c>
      <c r="D8" s="1107"/>
      <c r="E8" s="1108"/>
      <c r="F8" s="1105"/>
    </row>
    <row r="9" spans="1:9" ht="20.25" customHeight="1">
      <c r="A9" s="1104"/>
      <c r="B9" s="1105">
        <f>details!H20</f>
        <v>1.57</v>
      </c>
      <c r="C9" s="1106" t="s">
        <v>6437</v>
      </c>
      <c r="D9" s="1107">
        <f>building!C6</f>
        <v>237.08</v>
      </c>
      <c r="E9" s="1108" t="s">
        <v>6386</v>
      </c>
      <c r="F9" s="1105">
        <f>B9*D9</f>
        <v>372.22</v>
      </c>
    </row>
    <row r="10" spans="1:9" ht="72" customHeight="1">
      <c r="A10" s="1104">
        <v>3</v>
      </c>
      <c r="B10" s="1105">
        <f>details!H24</f>
        <v>0.3</v>
      </c>
      <c r="C10" s="1106" t="s">
        <v>6387</v>
      </c>
      <c r="D10" s="1107">
        <f>building!C38</f>
        <v>1775.78</v>
      </c>
      <c r="E10" s="1108" t="s">
        <v>6386</v>
      </c>
      <c r="F10" s="1105">
        <f t="shared" ref="F10:F17" si="0">B10*D10</f>
        <v>532.73</v>
      </c>
    </row>
    <row r="11" spans="1:9" ht="87" customHeight="1">
      <c r="A11" s="1104">
        <v>4</v>
      </c>
      <c r="B11" s="1105">
        <f>'[7]B.D details'!H29</f>
        <v>0.3</v>
      </c>
      <c r="C11" s="1106" t="s">
        <v>6388</v>
      </c>
      <c r="D11" s="1107">
        <f>building!C45</f>
        <v>4941.53</v>
      </c>
      <c r="E11" s="1108" t="s">
        <v>2151</v>
      </c>
      <c r="F11" s="1105">
        <f t="shared" si="0"/>
        <v>1482.46</v>
      </c>
    </row>
    <row r="12" spans="1:9" ht="75.75" customHeight="1">
      <c r="A12" s="1104">
        <v>5</v>
      </c>
      <c r="B12" s="1105">
        <f>details!H32</f>
        <v>1.79</v>
      </c>
      <c r="C12" s="1106" t="s">
        <v>6389</v>
      </c>
      <c r="D12" s="1107">
        <f>building!C59</f>
        <v>6581.38</v>
      </c>
      <c r="E12" s="1108" t="s">
        <v>2151</v>
      </c>
      <c r="F12" s="1105">
        <f t="shared" si="0"/>
        <v>11780.67</v>
      </c>
    </row>
    <row r="13" spans="1:9" ht="75.75" customHeight="1">
      <c r="A13" s="1104">
        <v>6</v>
      </c>
      <c r="B13" s="1105"/>
      <c r="C13" s="1106" t="s">
        <v>6390</v>
      </c>
      <c r="D13" s="1107"/>
      <c r="E13" s="1108"/>
      <c r="F13" s="1105"/>
    </row>
    <row r="14" spans="1:9" ht="24" customHeight="1">
      <c r="A14" s="1104"/>
      <c r="B14" s="1105">
        <f>details!H37</f>
        <v>2.2999999999999998</v>
      </c>
      <c r="C14" s="1106" t="s">
        <v>3622</v>
      </c>
      <c r="D14" s="1107">
        <v>6587.8</v>
      </c>
      <c r="E14" s="1108" t="s">
        <v>2151</v>
      </c>
      <c r="F14" s="1105">
        <f t="shared" si="0"/>
        <v>15151.94</v>
      </c>
    </row>
    <row r="15" spans="1:9" ht="84.75" customHeight="1">
      <c r="A15" s="1104">
        <v>7</v>
      </c>
      <c r="B15" s="1105">
        <f>details!H41</f>
        <v>9.75</v>
      </c>
      <c r="C15" s="1106" t="s">
        <v>6539</v>
      </c>
      <c r="D15" s="1107">
        <v>798.3</v>
      </c>
      <c r="E15" s="1108" t="s">
        <v>2283</v>
      </c>
      <c r="F15" s="1105">
        <f t="shared" si="0"/>
        <v>7783.43</v>
      </c>
    </row>
    <row r="16" spans="1:9" ht="66.75" customHeight="1">
      <c r="A16" s="1104">
        <v>8</v>
      </c>
      <c r="B16" s="1105">
        <f>details!H46</f>
        <v>77.099999999999994</v>
      </c>
      <c r="C16" s="1106" t="s">
        <v>6392</v>
      </c>
      <c r="D16" s="1107">
        <f>building!C341</f>
        <v>252.04</v>
      </c>
      <c r="E16" s="1108" t="s">
        <v>2283</v>
      </c>
      <c r="F16" s="1105">
        <f t="shared" si="0"/>
        <v>19432.28</v>
      </c>
    </row>
    <row r="17" spans="1:8" ht="30.75" customHeight="1">
      <c r="A17" s="1104">
        <v>9</v>
      </c>
      <c r="B17" s="1105">
        <f>details!H50</f>
        <v>7.8</v>
      </c>
      <c r="C17" s="1106" t="s">
        <v>6393</v>
      </c>
      <c r="D17" s="1107">
        <f>building!C674</f>
        <v>411.32</v>
      </c>
      <c r="E17" s="1108" t="s">
        <v>2283</v>
      </c>
      <c r="F17" s="1105">
        <f t="shared" si="0"/>
        <v>3208.3</v>
      </c>
    </row>
    <row r="18" spans="1:8" ht="70.5" customHeight="1">
      <c r="A18" s="1104">
        <v>10</v>
      </c>
      <c r="B18" s="1105">
        <f>details!H107</f>
        <v>116.36</v>
      </c>
      <c r="C18" s="1106" t="s">
        <v>6599</v>
      </c>
      <c r="D18" s="1107">
        <f>'Print Data'!F663</f>
        <v>527.86</v>
      </c>
      <c r="E18" s="1108" t="s">
        <v>2283</v>
      </c>
      <c r="F18" s="1105">
        <f>B18*D18</f>
        <v>61421.79</v>
      </c>
    </row>
    <row r="19" spans="1:8" ht="70.5" customHeight="1">
      <c r="A19" s="1104">
        <f>A18+1</f>
        <v>11</v>
      </c>
      <c r="B19" s="1105">
        <f>details!H107</f>
        <v>116.36</v>
      </c>
      <c r="C19" s="1106" t="str">
        <f>details!B96</f>
        <v>Plastering with CM 1:3 (one of cement and four of sand) 12 mm thick finished with WPC for neat cement including providing band cornice, ceiling cornice, curing, scaffolding etc.... complete in all respects and complying with standard specifications.</v>
      </c>
      <c r="D19" s="1107">
        <f>building!C561</f>
        <v>276.82</v>
      </c>
      <c r="E19" s="1108" t="str">
        <f>details!I107</f>
        <v>Sqm</v>
      </c>
      <c r="F19" s="1105">
        <f>B19*D19</f>
        <v>32210.78</v>
      </c>
    </row>
    <row r="20" spans="1:8" ht="39" customHeight="1">
      <c r="A20" s="1109">
        <f>A19+1</f>
        <v>12</v>
      </c>
      <c r="B20" s="1110">
        <f>details!H159</f>
        <v>50</v>
      </c>
      <c r="C20" s="1111" t="s">
        <v>6394</v>
      </c>
      <c r="D20" s="1112">
        <f>building!C361</f>
        <v>343.11</v>
      </c>
      <c r="E20" s="1113" t="s">
        <v>826</v>
      </c>
      <c r="F20" s="1105">
        <f t="shared" ref="F20:F40" si="1">B20*D20</f>
        <v>17155.5</v>
      </c>
      <c r="H20" s="1057"/>
    </row>
    <row r="21" spans="1:8" ht="129.75" customHeight="1">
      <c r="A21" s="1109">
        <f>A20+1</f>
        <v>13</v>
      </c>
      <c r="B21" s="1110"/>
      <c r="C21" s="1111" t="s">
        <v>6395</v>
      </c>
      <c r="D21" s="1112"/>
      <c r="E21" s="1113"/>
      <c r="F21" s="1105"/>
      <c r="H21" s="1057"/>
    </row>
    <row r="22" spans="1:8" ht="25.5">
      <c r="A22" s="1109"/>
      <c r="B22" s="1110">
        <f>details!H163</f>
        <v>33.6</v>
      </c>
      <c r="C22" s="1111" t="s">
        <v>6478</v>
      </c>
      <c r="D22" s="1112">
        <f>building!C392</f>
        <v>717.55</v>
      </c>
      <c r="E22" s="1113" t="s">
        <v>826</v>
      </c>
      <c r="F22" s="1105">
        <f t="shared" si="1"/>
        <v>24109.68</v>
      </c>
      <c r="H22" s="1057"/>
    </row>
    <row r="23" spans="1:8" ht="25.5">
      <c r="A23" s="1109"/>
      <c r="B23" s="1110">
        <f>details!H166</f>
        <v>16</v>
      </c>
      <c r="C23" s="1111" t="s">
        <v>6480</v>
      </c>
      <c r="D23" s="1112">
        <f>building!C393</f>
        <v>600.25</v>
      </c>
      <c r="E23" s="1113" t="s">
        <v>826</v>
      </c>
      <c r="F23" s="1105">
        <f t="shared" si="1"/>
        <v>9604</v>
      </c>
      <c r="H23" s="1057"/>
    </row>
    <row r="24" spans="1:8" ht="133.5" customHeight="1">
      <c r="A24" s="1109">
        <f>A21+1</f>
        <v>14</v>
      </c>
      <c r="B24" s="1110">
        <f>details!H170</f>
        <v>6.3</v>
      </c>
      <c r="C24" s="1111" t="s">
        <v>6564</v>
      </c>
      <c r="D24" s="1112">
        <f>[7]building!C631</f>
        <v>3325</v>
      </c>
      <c r="E24" s="1113" t="s">
        <v>2283</v>
      </c>
      <c r="F24" s="1105">
        <f t="shared" si="1"/>
        <v>20947.5</v>
      </c>
      <c r="H24" s="1057"/>
    </row>
    <row r="25" spans="1:8" ht="33" customHeight="1">
      <c r="A25" s="1109">
        <f t="shared" ref="A25:A29" si="2">A24+1</f>
        <v>15</v>
      </c>
      <c r="B25" s="1110">
        <f>details!H173</f>
        <v>5</v>
      </c>
      <c r="C25" s="1111" t="s">
        <v>6484</v>
      </c>
      <c r="D25" s="1112">
        <f>building!C897</f>
        <v>488</v>
      </c>
      <c r="E25" s="1113" t="s">
        <v>1398</v>
      </c>
      <c r="F25" s="1105">
        <f t="shared" si="1"/>
        <v>2440</v>
      </c>
      <c r="H25" s="1057"/>
    </row>
    <row r="26" spans="1:8" ht="34.5" customHeight="1">
      <c r="A26" s="1109">
        <f t="shared" si="2"/>
        <v>16</v>
      </c>
      <c r="B26" s="1110">
        <f>details!H176</f>
        <v>4</v>
      </c>
      <c r="C26" s="1111" t="s">
        <v>6485</v>
      </c>
      <c r="D26" s="1112">
        <f>building!C898</f>
        <v>440</v>
      </c>
      <c r="E26" s="1113" t="s">
        <v>1398</v>
      </c>
      <c r="F26" s="1105">
        <f t="shared" si="1"/>
        <v>1760</v>
      </c>
      <c r="H26" s="1057"/>
    </row>
    <row r="27" spans="1:8" ht="89.25">
      <c r="A27" s="1109">
        <f>A26+1</f>
        <v>17</v>
      </c>
      <c r="B27" s="1110">
        <f>details!H179</f>
        <v>1</v>
      </c>
      <c r="C27" s="1111" t="s">
        <v>6396</v>
      </c>
      <c r="D27" s="1112">
        <f>building!C871</f>
        <v>7084.3</v>
      </c>
      <c r="E27" s="1113" t="s">
        <v>1398</v>
      </c>
      <c r="F27" s="1105">
        <f t="shared" si="1"/>
        <v>7084.3</v>
      </c>
      <c r="H27" s="1057"/>
    </row>
    <row r="28" spans="1:8" ht="48" customHeight="1">
      <c r="A28" s="1109">
        <f t="shared" si="2"/>
        <v>18</v>
      </c>
      <c r="B28" s="1110">
        <f>details!H182</f>
        <v>1</v>
      </c>
      <c r="C28" s="1111" t="s">
        <v>6540</v>
      </c>
      <c r="D28" s="1112">
        <v>3324.67</v>
      </c>
      <c r="E28" s="1113" t="s">
        <v>1398</v>
      </c>
      <c r="F28" s="1105">
        <f t="shared" si="1"/>
        <v>3324.67</v>
      </c>
      <c r="H28" s="1057"/>
    </row>
    <row r="29" spans="1:8" ht="176.25" customHeight="1">
      <c r="A29" s="1109">
        <f t="shared" si="2"/>
        <v>19</v>
      </c>
      <c r="B29" s="1110"/>
      <c r="C29" s="1111" t="s">
        <v>6397</v>
      </c>
      <c r="D29" s="1112"/>
      <c r="E29" s="1113"/>
      <c r="F29" s="1105"/>
      <c r="H29" s="1057"/>
    </row>
    <row r="30" spans="1:8" ht="26.25" customHeight="1">
      <c r="A30" s="1109"/>
      <c r="B30" s="1110">
        <f>details!I188</f>
        <v>12</v>
      </c>
      <c r="C30" s="1111" t="s">
        <v>6488</v>
      </c>
      <c r="D30" s="1112">
        <f>building!C416</f>
        <v>1692.1</v>
      </c>
      <c r="E30" s="1113" t="s">
        <v>1398</v>
      </c>
      <c r="F30" s="1105">
        <f t="shared" si="1"/>
        <v>20305.2</v>
      </c>
      <c r="H30" s="1057"/>
    </row>
    <row r="31" spans="1:8" ht="26.25" customHeight="1">
      <c r="A31" s="1109"/>
      <c r="B31" s="1110">
        <f>details!I194</f>
        <v>8</v>
      </c>
      <c r="C31" s="1111" t="s">
        <v>6492</v>
      </c>
      <c r="D31" s="1112">
        <f>building!C417</f>
        <v>1695.1</v>
      </c>
      <c r="E31" s="1113" t="s">
        <v>1398</v>
      </c>
      <c r="F31" s="1105">
        <f t="shared" si="1"/>
        <v>13560.8</v>
      </c>
      <c r="H31" s="1057"/>
    </row>
    <row r="32" spans="1:8" ht="148.5" customHeight="1">
      <c r="A32" s="1109">
        <f>A29+1</f>
        <v>20</v>
      </c>
      <c r="B32" s="1110">
        <f>details!I201</f>
        <v>10</v>
      </c>
      <c r="C32" s="1111" t="s">
        <v>6398</v>
      </c>
      <c r="D32" s="1112">
        <f>building!C690</f>
        <v>1767.1</v>
      </c>
      <c r="E32" s="1113" t="s">
        <v>1398</v>
      </c>
      <c r="F32" s="1105">
        <f t="shared" si="1"/>
        <v>17671</v>
      </c>
      <c r="H32" s="1057"/>
    </row>
    <row r="33" spans="1:8" ht="204">
      <c r="A33" s="1109">
        <f>A32+1</f>
        <v>21</v>
      </c>
      <c r="B33" s="1110">
        <f>details!H204</f>
        <v>3</v>
      </c>
      <c r="C33" s="1111" t="s">
        <v>6399</v>
      </c>
      <c r="D33" s="1112">
        <f>building!C938</f>
        <v>4121.67</v>
      </c>
      <c r="E33" s="1113" t="s">
        <v>1398</v>
      </c>
      <c r="F33" s="1105">
        <f t="shared" si="1"/>
        <v>12365.01</v>
      </c>
      <c r="H33" s="1057"/>
    </row>
    <row r="34" spans="1:8" ht="38.25">
      <c r="A34" s="1109">
        <f>A33+1</f>
        <v>22</v>
      </c>
      <c r="B34" s="1110">
        <f>details!H208</f>
        <v>4</v>
      </c>
      <c r="C34" s="1111" t="s">
        <v>6400</v>
      </c>
      <c r="D34" s="1112">
        <f>building!C937</f>
        <v>529.20000000000005</v>
      </c>
      <c r="E34" s="1113" t="s">
        <v>1398</v>
      </c>
      <c r="F34" s="1105">
        <f t="shared" si="1"/>
        <v>2116.8000000000002</v>
      </c>
      <c r="H34" s="1057"/>
    </row>
    <row r="35" spans="1:8" ht="71.25" customHeight="1">
      <c r="A35" s="1109">
        <f>A34+1</f>
        <v>23</v>
      </c>
      <c r="B35" s="1110"/>
      <c r="C35" s="1111" t="s">
        <v>6401</v>
      </c>
      <c r="D35" s="1112"/>
      <c r="E35" s="1113"/>
      <c r="F35" s="1105"/>
      <c r="H35" s="1057"/>
    </row>
    <row r="36" spans="1:8" ht="21.75" customHeight="1">
      <c r="A36" s="1109"/>
      <c r="B36" s="1110">
        <f>details!H212</f>
        <v>4</v>
      </c>
      <c r="C36" s="1111" t="s">
        <v>6565</v>
      </c>
      <c r="D36" s="1112">
        <v>170</v>
      </c>
      <c r="E36" s="1113" t="s">
        <v>1398</v>
      </c>
      <c r="F36" s="1105">
        <f t="shared" si="1"/>
        <v>680</v>
      </c>
      <c r="H36" s="1057"/>
    </row>
    <row r="37" spans="1:8" ht="127.5" customHeight="1">
      <c r="A37" s="1109">
        <f>A35+1</f>
        <v>24</v>
      </c>
      <c r="B37" s="1110">
        <f>details!H218</f>
        <v>6</v>
      </c>
      <c r="C37" s="1111" t="s">
        <v>6402</v>
      </c>
      <c r="D37" s="1112">
        <v>1552.7</v>
      </c>
      <c r="E37" s="1113" t="s">
        <v>1398</v>
      </c>
      <c r="F37" s="1105">
        <f>B37*D37</f>
        <v>9316.2000000000007</v>
      </c>
      <c r="H37" s="1057"/>
    </row>
    <row r="38" spans="1:8" ht="51">
      <c r="A38" s="1109">
        <f t="shared" ref="A38:A50" si="3">A37+1</f>
        <v>25</v>
      </c>
      <c r="B38" s="1110">
        <f>details!H224</f>
        <v>6</v>
      </c>
      <c r="C38" s="1111" t="s">
        <v>6403</v>
      </c>
      <c r="D38" s="1112">
        <v>601.20000000000005</v>
      </c>
      <c r="E38" s="1113" t="s">
        <v>1398</v>
      </c>
      <c r="F38" s="1105">
        <f t="shared" si="1"/>
        <v>3607.2</v>
      </c>
      <c r="H38" s="1057"/>
    </row>
    <row r="39" spans="1:8" ht="131.25" customHeight="1">
      <c r="A39" s="1109">
        <f t="shared" si="3"/>
        <v>26</v>
      </c>
      <c r="B39" s="1110">
        <f>details!H229</f>
        <v>9</v>
      </c>
      <c r="C39" s="1111" t="s">
        <v>6404</v>
      </c>
      <c r="D39" s="1112">
        <v>705</v>
      </c>
      <c r="E39" s="1113" t="s">
        <v>1398</v>
      </c>
      <c r="F39" s="1105">
        <f t="shared" si="1"/>
        <v>6345</v>
      </c>
      <c r="H39" s="1057"/>
    </row>
    <row r="40" spans="1:8" ht="131.25" customHeight="1">
      <c r="A40" s="1109">
        <f t="shared" si="3"/>
        <v>27</v>
      </c>
      <c r="B40" s="1110">
        <f>details!H235</f>
        <v>78.400000000000006</v>
      </c>
      <c r="C40" s="1111" t="s">
        <v>6405</v>
      </c>
      <c r="D40" s="1112">
        <v>214.9</v>
      </c>
      <c r="E40" s="1113" t="s">
        <v>826</v>
      </c>
      <c r="F40" s="1105">
        <f t="shared" si="1"/>
        <v>16848.16</v>
      </c>
      <c r="H40" s="1057"/>
    </row>
    <row r="41" spans="1:8" ht="131.25" customHeight="1">
      <c r="A41" s="1109">
        <f t="shared" si="3"/>
        <v>28</v>
      </c>
      <c r="B41" s="1110">
        <f>details!H241</f>
        <v>74</v>
      </c>
      <c r="C41" s="1111" t="s">
        <v>6406</v>
      </c>
      <c r="D41" s="1112">
        <v>232.9</v>
      </c>
      <c r="E41" s="1113" t="s">
        <v>826</v>
      </c>
      <c r="F41" s="1105">
        <f t="shared" ref="F41:F50" si="4">B41*D41</f>
        <v>17234.599999999999</v>
      </c>
      <c r="H41" s="1057"/>
    </row>
    <row r="42" spans="1:8" ht="93.75" customHeight="1">
      <c r="A42" s="1109">
        <f t="shared" si="3"/>
        <v>29</v>
      </c>
      <c r="B42" s="1110">
        <f>details!H303</f>
        <v>581.48</v>
      </c>
      <c r="C42" s="1111" t="s">
        <v>6407</v>
      </c>
      <c r="D42" s="1112">
        <v>129.47</v>
      </c>
      <c r="E42" s="1113" t="s">
        <v>2283</v>
      </c>
      <c r="F42" s="1105">
        <f t="shared" si="4"/>
        <v>75284.22</v>
      </c>
      <c r="H42" s="1057"/>
    </row>
    <row r="43" spans="1:8" ht="129.75" customHeight="1">
      <c r="A43" s="1109">
        <f t="shared" si="3"/>
        <v>30</v>
      </c>
      <c r="B43" s="1110">
        <f>details!H320</f>
        <v>330.55</v>
      </c>
      <c r="C43" s="1111" t="s">
        <v>6541</v>
      </c>
      <c r="D43" s="1112">
        <v>165.57</v>
      </c>
      <c r="E43" s="1113" t="s">
        <v>2283</v>
      </c>
      <c r="F43" s="1105">
        <f t="shared" si="4"/>
        <v>54729.16</v>
      </c>
      <c r="H43" s="1057"/>
    </row>
    <row r="44" spans="1:8" ht="39" customHeight="1">
      <c r="A44" s="1109">
        <f t="shared" si="3"/>
        <v>31</v>
      </c>
      <c r="B44" s="1110">
        <f>details!H339</f>
        <v>199.71</v>
      </c>
      <c r="C44" s="1111" t="s">
        <v>6409</v>
      </c>
      <c r="D44" s="1112">
        <v>33.549999999999997</v>
      </c>
      <c r="E44" s="1113" t="s">
        <v>2283</v>
      </c>
      <c r="F44" s="1105">
        <f t="shared" si="4"/>
        <v>6700.27</v>
      </c>
      <c r="H44" s="1057"/>
    </row>
    <row r="45" spans="1:8" ht="39" customHeight="1">
      <c r="A45" s="1109">
        <f t="shared" si="3"/>
        <v>32</v>
      </c>
      <c r="B45" s="1110">
        <f>details!H346</f>
        <v>54.81</v>
      </c>
      <c r="C45" s="1111" t="s">
        <v>6410</v>
      </c>
      <c r="D45" s="1112">
        <v>97.76</v>
      </c>
      <c r="E45" s="1113" t="s">
        <v>2283</v>
      </c>
      <c r="F45" s="1105">
        <f t="shared" si="4"/>
        <v>5358.23</v>
      </c>
      <c r="H45" s="1057"/>
    </row>
    <row r="46" spans="1:8" ht="39" customHeight="1">
      <c r="A46" s="1114">
        <f t="shared" si="3"/>
        <v>33</v>
      </c>
      <c r="B46" s="1110">
        <f>details!H356</f>
        <v>30.58</v>
      </c>
      <c r="C46" s="1111" t="s">
        <v>6411</v>
      </c>
      <c r="D46" s="1112">
        <v>90.43</v>
      </c>
      <c r="E46" s="1115" t="s">
        <v>2283</v>
      </c>
      <c r="F46" s="1105">
        <f t="shared" si="4"/>
        <v>2765.35</v>
      </c>
      <c r="H46" s="1057"/>
    </row>
    <row r="47" spans="1:8" s="946" customFormat="1" ht="49.5" customHeight="1">
      <c r="A47" s="1116">
        <f t="shared" si="3"/>
        <v>34</v>
      </c>
      <c r="B47" s="1117">
        <f>details!H402</f>
        <v>56</v>
      </c>
      <c r="C47" s="1118" t="s">
        <v>6543</v>
      </c>
      <c r="D47" s="1119">
        <v>41.8</v>
      </c>
      <c r="E47" s="1115" t="s">
        <v>2283</v>
      </c>
      <c r="F47" s="1105">
        <f t="shared" si="4"/>
        <v>2340.8000000000002</v>
      </c>
    </row>
    <row r="48" spans="1:8" s="946" customFormat="1" ht="25.5" customHeight="1">
      <c r="A48" s="1116">
        <f t="shared" si="3"/>
        <v>35</v>
      </c>
      <c r="B48" s="1117">
        <f>details!H405</f>
        <v>1</v>
      </c>
      <c r="C48" s="1118" t="s">
        <v>6542</v>
      </c>
      <c r="D48" s="1119">
        <v>35490</v>
      </c>
      <c r="E48" s="1115" t="s">
        <v>1394</v>
      </c>
      <c r="F48" s="1105">
        <f t="shared" si="4"/>
        <v>35490</v>
      </c>
    </row>
    <row r="49" spans="1:6" s="946" customFormat="1" ht="42" customHeight="1">
      <c r="A49" s="1116">
        <f t="shared" si="3"/>
        <v>36</v>
      </c>
      <c r="B49" s="1117">
        <f>details!H408</f>
        <v>1</v>
      </c>
      <c r="C49" s="1118" t="s">
        <v>6544</v>
      </c>
      <c r="D49" s="1119">
        <v>11056.1</v>
      </c>
      <c r="E49" s="1115" t="s">
        <v>1394</v>
      </c>
      <c r="F49" s="1105">
        <f t="shared" si="4"/>
        <v>11056.1</v>
      </c>
    </row>
    <row r="50" spans="1:6" s="946" customFormat="1" ht="48.75" customHeight="1">
      <c r="A50" s="1116">
        <f t="shared" si="3"/>
        <v>37</v>
      </c>
      <c r="B50" s="1120">
        <f>details!H414</f>
        <v>3</v>
      </c>
      <c r="C50" s="1121" t="s">
        <v>6545</v>
      </c>
      <c r="D50" s="1122">
        <v>3300</v>
      </c>
      <c r="E50" s="1115" t="s">
        <v>6412</v>
      </c>
      <c r="F50" s="1123">
        <f t="shared" si="4"/>
        <v>9900</v>
      </c>
    </row>
    <row r="51" spans="1:6" s="946" customFormat="1" ht="121.5" customHeight="1">
      <c r="A51" s="1116">
        <f>A50+1</f>
        <v>38</v>
      </c>
      <c r="B51" s="1117">
        <f>details!H435</f>
        <v>147.71</v>
      </c>
      <c r="C51" s="1121" t="s">
        <v>6567</v>
      </c>
      <c r="D51" s="1122">
        <v>1254.01</v>
      </c>
      <c r="E51" s="1115" t="s">
        <v>2283</v>
      </c>
      <c r="F51" s="1123">
        <f t="shared" ref="F51" si="5">B51*D51</f>
        <v>185229.82</v>
      </c>
    </row>
    <row r="52" spans="1:6" s="946" customFormat="1" ht="57.75" customHeight="1">
      <c r="A52" s="1116">
        <f t="shared" ref="A52:A57" si="6">A51+1</f>
        <v>39</v>
      </c>
      <c r="B52" s="1117">
        <f>details!H439</f>
        <v>60</v>
      </c>
      <c r="C52" s="1121" t="s">
        <v>6568</v>
      </c>
      <c r="D52" s="1122">
        <v>70.150000000000006</v>
      </c>
      <c r="E52" s="1115" t="s">
        <v>913</v>
      </c>
      <c r="F52" s="1123">
        <f>B52*D52</f>
        <v>4209</v>
      </c>
    </row>
    <row r="53" spans="1:6" s="946" customFormat="1" ht="77.25" customHeight="1">
      <c r="A53" s="1116">
        <f t="shared" si="6"/>
        <v>40</v>
      </c>
      <c r="B53" s="1117">
        <f>details!H443</f>
        <v>4.95</v>
      </c>
      <c r="C53" s="1121" t="s">
        <v>6569</v>
      </c>
      <c r="D53" s="1122">
        <v>835.7</v>
      </c>
      <c r="E53" s="1115" t="s">
        <v>2283</v>
      </c>
      <c r="F53" s="1123">
        <f>B53*D53</f>
        <v>4136.72</v>
      </c>
    </row>
    <row r="54" spans="1:6" s="946" customFormat="1" ht="121.5" customHeight="1">
      <c r="A54" s="1116">
        <f t="shared" si="6"/>
        <v>41</v>
      </c>
      <c r="B54" s="1117">
        <f>details!H449</f>
        <v>5.2</v>
      </c>
      <c r="C54" s="1121" t="s">
        <v>6570</v>
      </c>
      <c r="D54" s="1122">
        <v>1210.57</v>
      </c>
      <c r="E54" s="1115" t="s">
        <v>2283</v>
      </c>
      <c r="F54" s="1123">
        <f>B54*D54</f>
        <v>6294.96</v>
      </c>
    </row>
    <row r="55" spans="1:6" s="946" customFormat="1" ht="121.5" customHeight="1">
      <c r="A55" s="1116">
        <f t="shared" si="6"/>
        <v>42</v>
      </c>
      <c r="B55" s="1117">
        <f>details!H456</f>
        <v>12.87</v>
      </c>
      <c r="C55" s="1121" t="s">
        <v>6583</v>
      </c>
      <c r="D55" s="1122">
        <v>1376.6</v>
      </c>
      <c r="E55" s="1115" t="s">
        <v>2283</v>
      </c>
      <c r="F55" s="1123">
        <f t="shared" ref="F55:F61" si="7">B55*D55</f>
        <v>17716.84</v>
      </c>
    </row>
    <row r="56" spans="1:6" s="946" customFormat="1" ht="68.25" customHeight="1">
      <c r="A56" s="1116">
        <f t="shared" si="6"/>
        <v>43</v>
      </c>
      <c r="B56" s="1117">
        <f>details!H462</f>
        <v>186.86</v>
      </c>
      <c r="C56" s="1118" t="s">
        <v>6415</v>
      </c>
      <c r="D56" s="1119">
        <v>600</v>
      </c>
      <c r="E56" s="1115" t="s">
        <v>2283</v>
      </c>
      <c r="F56" s="1123">
        <f t="shared" si="7"/>
        <v>112116</v>
      </c>
    </row>
    <row r="57" spans="1:6" s="946" customFormat="1" ht="132.75" customHeight="1">
      <c r="A57" s="1116">
        <f t="shared" si="6"/>
        <v>44</v>
      </c>
      <c r="B57" s="1117"/>
      <c r="C57" s="1118" t="s">
        <v>6588</v>
      </c>
      <c r="D57" s="1119"/>
      <c r="E57" s="1115"/>
      <c r="F57" s="1123"/>
    </row>
    <row r="58" spans="1:6" s="946" customFormat="1" ht="27" customHeight="1">
      <c r="A58" s="1116"/>
      <c r="B58" s="1117">
        <f>details!H466</f>
        <v>45</v>
      </c>
      <c r="C58" s="1078" t="s">
        <v>6589</v>
      </c>
      <c r="D58" s="1119">
        <v>252.72</v>
      </c>
      <c r="E58" s="1115" t="s">
        <v>826</v>
      </c>
      <c r="F58" s="1123">
        <f t="shared" si="7"/>
        <v>11372.4</v>
      </c>
    </row>
    <row r="59" spans="1:6" s="946" customFormat="1" ht="22.5" customHeight="1">
      <c r="A59" s="1116"/>
      <c r="B59" s="1117">
        <f>details!H469</f>
        <v>35</v>
      </c>
      <c r="C59" s="1078" t="s">
        <v>6590</v>
      </c>
      <c r="D59" s="1119">
        <v>234.47</v>
      </c>
      <c r="E59" s="1115" t="s">
        <v>826</v>
      </c>
      <c r="F59" s="1123">
        <f t="shared" si="7"/>
        <v>8206.4500000000007</v>
      </c>
    </row>
    <row r="60" spans="1:6" s="946" customFormat="1" ht="22.5" customHeight="1">
      <c r="A60" s="1116"/>
      <c r="B60" s="1117">
        <f>details!H472</f>
        <v>15</v>
      </c>
      <c r="C60" s="1078" t="s">
        <v>6597</v>
      </c>
      <c r="D60" s="1119">
        <v>229.61</v>
      </c>
      <c r="E60" s="1115" t="s">
        <v>826</v>
      </c>
      <c r="F60" s="1123">
        <f t="shared" si="7"/>
        <v>3444.15</v>
      </c>
    </row>
    <row r="61" spans="1:6" s="946" customFormat="1" ht="117.75" customHeight="1">
      <c r="A61" s="1116">
        <f>A57+1</f>
        <v>45</v>
      </c>
      <c r="B61" s="1117">
        <f>details!H475</f>
        <v>4.4800000000000004</v>
      </c>
      <c r="C61" s="1078" t="str">
        <f>details!B473</f>
        <v>Weathering Course with concrete broken brick jelly 20mm gauge in pure burnt stone lime slaked and screened (No Sand) over RCC Roof Slab with proportion of brick jelly to lime (fat lime) being 32: 12 1/2 by volume well beaten with wooden beaters for giving the required slope and thickness complying with relevant standard specification and as directed by the departmental officers.</v>
      </c>
      <c r="D61" s="1119">
        <f>building!C337</f>
        <v>3620.05</v>
      </c>
      <c r="E61" s="1115" t="str">
        <f>details!I475</f>
        <v>CUM</v>
      </c>
      <c r="F61" s="1123">
        <f t="shared" si="7"/>
        <v>16217.82</v>
      </c>
    </row>
    <row r="62" spans="1:6" s="946" customFormat="1" ht="18" customHeight="1">
      <c r="A62" s="1116"/>
      <c r="B62" s="1117"/>
      <c r="C62" s="1124"/>
      <c r="D62" s="1185" t="s">
        <v>6416</v>
      </c>
      <c r="E62" s="1185"/>
      <c r="F62" s="1125">
        <f>SUM(F7:F61)</f>
        <v>999206.11</v>
      </c>
    </row>
    <row r="63" spans="1:6" s="946" customFormat="1" ht="18" customHeight="1">
      <c r="A63" s="1116"/>
      <c r="B63" s="1117" t="s">
        <v>657</v>
      </c>
      <c r="C63" s="1126" t="s">
        <v>6417</v>
      </c>
      <c r="D63" s="1184" t="s">
        <v>657</v>
      </c>
      <c r="E63" s="1184"/>
      <c r="F63" s="1120">
        <f>F62*18%</f>
        <v>179857.1</v>
      </c>
    </row>
    <row r="64" spans="1:6" s="946" customFormat="1" ht="18" customHeight="1">
      <c r="A64" s="1116"/>
      <c r="B64" s="1117"/>
      <c r="C64" s="1126"/>
      <c r="D64" s="1185" t="s">
        <v>6416</v>
      </c>
      <c r="E64" s="1185"/>
      <c r="F64" s="1125">
        <f>SUM(F62:F63)</f>
        <v>1179063.21</v>
      </c>
    </row>
    <row r="65" spans="1:8" s="946" customFormat="1" ht="18" customHeight="1">
      <c r="A65" s="1116"/>
      <c r="B65" s="1117" t="s">
        <v>657</v>
      </c>
      <c r="C65" s="1118" t="s">
        <v>6418</v>
      </c>
      <c r="D65" s="1184" t="s">
        <v>657</v>
      </c>
      <c r="E65" s="1184"/>
      <c r="F65" s="1120">
        <f>F62*1%</f>
        <v>9992.06</v>
      </c>
    </row>
    <row r="66" spans="1:8" s="946" customFormat="1" ht="18" customHeight="1">
      <c r="A66" s="1116"/>
      <c r="B66" s="1117" t="s">
        <v>657</v>
      </c>
      <c r="C66" s="1127" t="s">
        <v>6419</v>
      </c>
      <c r="D66" s="1184" t="s">
        <v>657</v>
      </c>
      <c r="E66" s="1184"/>
      <c r="F66" s="1120">
        <f>(F64)*7.5%</f>
        <v>88429.74</v>
      </c>
    </row>
    <row r="67" spans="1:8" s="946" customFormat="1" ht="18" customHeight="1">
      <c r="A67" s="1116"/>
      <c r="B67" s="1117"/>
      <c r="C67" s="1125"/>
      <c r="D67" s="1181" t="s">
        <v>2245</v>
      </c>
      <c r="E67" s="1181"/>
      <c r="F67" s="1125">
        <f>SUM(F64:F66)</f>
        <v>1277485.01</v>
      </c>
    </row>
    <row r="68" spans="1:8" s="948" customFormat="1" ht="18" customHeight="1">
      <c r="A68" s="1128"/>
      <c r="B68" s="1125"/>
      <c r="C68" s="1125"/>
      <c r="D68" s="1182" t="s">
        <v>6420</v>
      </c>
      <c r="E68" s="1182"/>
      <c r="F68" s="1103">
        <f>ROUNDUP(F67,-2)</f>
        <v>1277500</v>
      </c>
      <c r="G68" s="948">
        <v>1277500</v>
      </c>
      <c r="H68" s="949"/>
    </row>
    <row r="69" spans="1:8" s="1067" customFormat="1">
      <c r="A69" s="1061"/>
      <c r="B69" s="1062"/>
      <c r="C69" s="1063"/>
      <c r="D69" s="1064"/>
      <c r="E69" s="1065"/>
      <c r="F69" s="1066"/>
    </row>
    <row r="70" spans="1:8" s="1067" customFormat="1">
      <c r="A70" s="1061"/>
      <c r="B70" s="1062"/>
      <c r="C70" s="1063"/>
      <c r="D70" s="1064"/>
      <c r="E70" s="1065"/>
      <c r="F70" s="1066"/>
      <c r="H70" s="1067">
        <f>G68-F68</f>
        <v>0</v>
      </c>
    </row>
    <row r="71" spans="1:8" s="1067" customFormat="1">
      <c r="A71" s="1061"/>
      <c r="B71" s="1062"/>
      <c r="C71" s="1063"/>
      <c r="D71" s="1064"/>
      <c r="E71" s="1065"/>
      <c r="F71" s="1066"/>
    </row>
    <row r="72" spans="1:8" s="1067" customFormat="1">
      <c r="A72" s="1061"/>
      <c r="B72" s="1062"/>
      <c r="C72" s="1063"/>
      <c r="D72" s="1064"/>
      <c r="E72" s="1065"/>
      <c r="F72" s="1066"/>
    </row>
    <row r="73" spans="1:8" s="1067" customFormat="1">
      <c r="A73" s="1061"/>
      <c r="B73" s="1068" t="s">
        <v>6421</v>
      </c>
      <c r="C73" s="1069" t="s">
        <v>6422</v>
      </c>
      <c r="D73" s="1183" t="s">
        <v>6423</v>
      </c>
      <c r="E73" s="1183"/>
      <c r="F73" s="1066"/>
    </row>
    <row r="74" spans="1:8" s="1067" customFormat="1">
      <c r="A74" s="1061"/>
      <c r="B74" s="1062"/>
      <c r="C74" s="1063"/>
      <c r="D74" s="1070"/>
      <c r="E74" s="1065"/>
      <c r="F74" s="1071"/>
    </row>
    <row r="75" spans="1:8" s="1067" customFormat="1">
      <c r="A75" s="1061"/>
      <c r="B75" s="1062"/>
      <c r="C75" s="1063"/>
      <c r="D75" s="1070"/>
      <c r="E75" s="1065"/>
      <c r="F75" s="1071"/>
    </row>
    <row r="76" spans="1:8" s="1067" customFormat="1">
      <c r="A76" s="1061"/>
      <c r="B76" s="1062"/>
      <c r="C76" s="1063"/>
      <c r="D76" s="1070"/>
      <c r="E76" s="1065"/>
      <c r="F76" s="1071"/>
    </row>
    <row r="77" spans="1:8" s="1067" customFormat="1">
      <c r="A77" s="1061"/>
      <c r="B77" s="1062"/>
      <c r="C77" s="1063"/>
      <c r="D77" s="1070"/>
      <c r="E77" s="1065"/>
      <c r="F77" s="1071"/>
    </row>
    <row r="78" spans="1:8" s="1067" customFormat="1">
      <c r="A78" s="1061"/>
      <c r="B78" s="1062"/>
      <c r="C78" s="1063"/>
      <c r="D78" s="1070"/>
      <c r="E78" s="1065"/>
      <c r="F78" s="1071"/>
    </row>
    <row r="79" spans="1:8" s="1067" customFormat="1">
      <c r="A79" s="1061"/>
      <c r="B79" s="1062"/>
      <c r="C79" s="1063"/>
      <c r="D79" s="1070"/>
      <c r="E79" s="1065"/>
      <c r="F79" s="1071"/>
    </row>
    <row r="80" spans="1:8" s="1067" customFormat="1">
      <c r="A80" s="1061"/>
      <c r="B80" s="1062"/>
      <c r="C80" s="1063"/>
      <c r="D80" s="1070"/>
      <c r="E80" s="1065"/>
      <c r="F80" s="1071"/>
    </row>
    <row r="81" spans="1:6" s="1067" customFormat="1">
      <c r="A81" s="1061"/>
      <c r="B81" s="1062"/>
      <c r="C81" s="1063"/>
      <c r="D81" s="1070"/>
      <c r="E81" s="1065"/>
      <c r="F81" s="1071"/>
    </row>
    <row r="82" spans="1:6" s="1067" customFormat="1">
      <c r="A82" s="1072"/>
      <c r="B82" s="1071"/>
      <c r="D82" s="1073"/>
      <c r="E82" s="1065"/>
      <c r="F82" s="1071"/>
    </row>
    <row r="83" spans="1:6" s="1067" customFormat="1">
      <c r="A83" s="1072"/>
      <c r="B83" s="1071"/>
      <c r="D83" s="1073"/>
      <c r="E83" s="1065"/>
      <c r="F83" s="1071"/>
    </row>
    <row r="84" spans="1:6" s="1067" customFormat="1">
      <c r="A84" s="1072"/>
      <c r="B84" s="1071"/>
      <c r="D84" s="1073"/>
      <c r="E84" s="1065"/>
      <c r="F84" s="1071"/>
    </row>
    <row r="85" spans="1:6" s="1067" customFormat="1">
      <c r="A85" s="1072"/>
      <c r="B85" s="1071"/>
      <c r="D85" s="1073"/>
      <c r="E85" s="1065"/>
      <c r="F85" s="1071"/>
    </row>
    <row r="86" spans="1:6" s="1067" customFormat="1">
      <c r="A86" s="1072"/>
      <c r="B86" s="1071"/>
      <c r="D86" s="1073"/>
      <c r="E86" s="1065"/>
      <c r="F86" s="1071"/>
    </row>
    <row r="87" spans="1:6" s="1067" customFormat="1">
      <c r="A87" s="1072"/>
      <c r="B87" s="1071"/>
      <c r="D87" s="1073"/>
      <c r="E87" s="1065"/>
      <c r="F87" s="1071"/>
    </row>
    <row r="88" spans="1:6" s="1067" customFormat="1">
      <c r="A88" s="1072"/>
      <c r="B88" s="1071"/>
      <c r="D88" s="1073"/>
      <c r="E88" s="1065"/>
      <c r="F88" s="1071"/>
    </row>
    <row r="89" spans="1:6" s="1067" customFormat="1">
      <c r="A89" s="1072"/>
      <c r="B89" s="1071"/>
      <c r="D89" s="1073"/>
      <c r="E89" s="1065"/>
      <c r="F89" s="1071"/>
    </row>
    <row r="90" spans="1:6" s="1067" customFormat="1">
      <c r="A90" s="1072"/>
      <c r="B90" s="1071"/>
      <c r="D90" s="1073"/>
      <c r="E90" s="1065"/>
      <c r="F90" s="1071"/>
    </row>
    <row r="91" spans="1:6" s="1067" customFormat="1">
      <c r="A91" s="1072"/>
      <c r="B91" s="1071"/>
      <c r="D91" s="1073"/>
      <c r="E91" s="1065"/>
      <c r="F91" s="1071"/>
    </row>
    <row r="92" spans="1:6" s="1067" customFormat="1">
      <c r="A92" s="1072"/>
      <c r="B92" s="1071"/>
      <c r="D92" s="1073"/>
      <c r="E92" s="1065"/>
      <c r="F92" s="1071"/>
    </row>
    <row r="93" spans="1:6" s="1067" customFormat="1">
      <c r="A93" s="1072"/>
      <c r="B93" s="1071"/>
      <c r="D93" s="1073"/>
      <c r="E93" s="1065"/>
      <c r="F93" s="1071"/>
    </row>
    <row r="94" spans="1:6" s="1067" customFormat="1">
      <c r="A94" s="1072"/>
      <c r="B94" s="1071"/>
      <c r="D94" s="1073"/>
      <c r="E94" s="1065"/>
      <c r="F94" s="1071"/>
    </row>
    <row r="95" spans="1:6" s="1067" customFormat="1">
      <c r="A95" s="1072"/>
      <c r="B95" s="1071"/>
      <c r="D95" s="1073"/>
      <c r="E95" s="1065"/>
      <c r="F95" s="1071"/>
    </row>
    <row r="96" spans="1:6" s="1067" customFormat="1">
      <c r="A96" s="1072"/>
      <c r="B96" s="1071"/>
      <c r="D96" s="1073"/>
      <c r="E96" s="1065"/>
      <c r="F96" s="1071"/>
    </row>
    <row r="97" spans="1:6" s="1067" customFormat="1">
      <c r="A97" s="1072"/>
      <c r="B97" s="1071"/>
      <c r="D97" s="1073"/>
      <c r="E97" s="1065"/>
      <c r="F97" s="1071"/>
    </row>
    <row r="98" spans="1:6" s="1067" customFormat="1">
      <c r="A98" s="1072"/>
      <c r="B98" s="1071"/>
      <c r="D98" s="1073"/>
      <c r="E98" s="1065"/>
      <c r="F98" s="1071"/>
    </row>
    <row r="99" spans="1:6" s="1067" customFormat="1">
      <c r="A99" s="1072"/>
      <c r="B99" s="1071"/>
      <c r="D99" s="1073"/>
      <c r="E99" s="1065"/>
      <c r="F99" s="1071"/>
    </row>
    <row r="100" spans="1:6" s="1067" customFormat="1">
      <c r="A100" s="1072"/>
      <c r="B100" s="1071"/>
      <c r="D100" s="1073"/>
      <c r="E100" s="1065"/>
      <c r="F100" s="1071"/>
    </row>
    <row r="101" spans="1:6" s="1067" customFormat="1">
      <c r="A101" s="1072"/>
      <c r="B101" s="1071"/>
      <c r="D101" s="1073"/>
      <c r="E101" s="1065"/>
      <c r="F101" s="1071"/>
    </row>
    <row r="102" spans="1:6" s="1067" customFormat="1">
      <c r="A102" s="1072"/>
      <c r="B102" s="1071"/>
      <c r="D102" s="1073"/>
      <c r="E102" s="1065"/>
      <c r="F102" s="1071"/>
    </row>
    <row r="103" spans="1:6" s="1067" customFormat="1">
      <c r="A103" s="1072"/>
      <c r="B103" s="1071"/>
      <c r="D103" s="1073"/>
      <c r="E103" s="1065"/>
      <c r="F103" s="1071"/>
    </row>
    <row r="104" spans="1:6" s="1067" customFormat="1">
      <c r="A104" s="1072"/>
      <c r="B104" s="1071"/>
      <c r="D104" s="1073"/>
      <c r="E104" s="1065"/>
      <c r="F104" s="1071"/>
    </row>
    <row r="105" spans="1:6" s="1067" customFormat="1">
      <c r="A105" s="1072"/>
      <c r="B105" s="1071"/>
      <c r="D105" s="1073"/>
      <c r="E105" s="1065"/>
      <c r="F105" s="1071"/>
    </row>
    <row r="106" spans="1:6" s="1067" customFormat="1">
      <c r="A106" s="1072"/>
      <c r="B106" s="1071"/>
      <c r="D106" s="1073"/>
      <c r="E106" s="1065"/>
      <c r="F106" s="1071"/>
    </row>
    <row r="107" spans="1:6" s="1067" customFormat="1">
      <c r="A107" s="1072"/>
      <c r="B107" s="1071"/>
      <c r="D107" s="1073"/>
      <c r="E107" s="1065"/>
      <c r="F107" s="1071"/>
    </row>
    <row r="108" spans="1:6" s="1067" customFormat="1">
      <c r="A108" s="1072"/>
      <c r="B108" s="1071"/>
      <c r="D108" s="1073"/>
      <c r="E108" s="1065"/>
      <c r="F108" s="1071"/>
    </row>
    <row r="109" spans="1:6" s="1067" customFormat="1">
      <c r="A109" s="1072"/>
      <c r="B109" s="1071"/>
      <c r="D109" s="1073"/>
      <c r="E109" s="1065"/>
      <c r="F109" s="1071"/>
    </row>
    <row r="110" spans="1:6" s="1067" customFormat="1">
      <c r="A110" s="1072"/>
      <c r="B110" s="1071"/>
      <c r="D110" s="1073"/>
      <c r="E110" s="1065"/>
      <c r="F110" s="1071"/>
    </row>
    <row r="111" spans="1:6" s="1067" customFormat="1">
      <c r="A111" s="1072"/>
      <c r="B111" s="1071"/>
      <c r="D111" s="1073"/>
      <c r="E111" s="1065"/>
      <c r="F111" s="1071"/>
    </row>
    <row r="112" spans="1:6" s="1067" customFormat="1">
      <c r="A112" s="1072"/>
      <c r="B112" s="1071"/>
      <c r="D112" s="1073"/>
      <c r="E112" s="1065"/>
      <c r="F112" s="1071"/>
    </row>
    <row r="113" spans="1:6" s="1067" customFormat="1">
      <c r="A113" s="1072"/>
      <c r="B113" s="1071"/>
      <c r="D113" s="1073"/>
      <c r="E113" s="1065"/>
      <c r="F113" s="1071"/>
    </row>
    <row r="114" spans="1:6" s="1067" customFormat="1">
      <c r="A114" s="1072"/>
      <c r="B114" s="1071"/>
      <c r="D114" s="1073"/>
      <c r="E114" s="1065"/>
      <c r="F114" s="1071"/>
    </row>
    <row r="115" spans="1:6" s="1067" customFormat="1">
      <c r="A115" s="1072"/>
      <c r="B115" s="1071"/>
      <c r="D115" s="1073"/>
      <c r="E115" s="1065"/>
      <c r="F115" s="1071"/>
    </row>
    <row r="116" spans="1:6" s="1067" customFormat="1">
      <c r="A116" s="1072"/>
      <c r="B116" s="1071"/>
      <c r="D116" s="1073"/>
      <c r="E116" s="1065"/>
      <c r="F116" s="1071"/>
    </row>
    <row r="117" spans="1:6" s="1067" customFormat="1">
      <c r="A117" s="1072"/>
      <c r="B117" s="1071"/>
      <c r="D117" s="1073"/>
      <c r="E117" s="1065"/>
      <c r="F117" s="1071"/>
    </row>
    <row r="118" spans="1:6" s="1067" customFormat="1">
      <c r="A118" s="1072"/>
      <c r="B118" s="1071"/>
      <c r="D118" s="1073"/>
      <c r="E118" s="1065"/>
      <c r="F118" s="1071"/>
    </row>
    <row r="119" spans="1:6" s="1067" customFormat="1">
      <c r="A119" s="1072"/>
      <c r="B119" s="1071"/>
      <c r="D119" s="1073"/>
      <c r="E119" s="1065"/>
      <c r="F119" s="1071"/>
    </row>
    <row r="120" spans="1:6" s="1067" customFormat="1">
      <c r="A120" s="1072"/>
      <c r="B120" s="1071"/>
      <c r="D120" s="1073"/>
      <c r="E120" s="1065"/>
      <c r="F120" s="1071"/>
    </row>
    <row r="121" spans="1:6" s="1067" customFormat="1">
      <c r="A121" s="1072"/>
      <c r="B121" s="1071"/>
      <c r="D121" s="1073"/>
      <c r="E121" s="1065"/>
      <c r="F121" s="1071"/>
    </row>
    <row r="122" spans="1:6" s="1067" customFormat="1">
      <c r="A122" s="1072"/>
      <c r="B122" s="1071"/>
      <c r="D122" s="1073"/>
      <c r="E122" s="1065"/>
      <c r="F122" s="1071"/>
    </row>
    <row r="123" spans="1:6" s="1067" customFormat="1">
      <c r="A123" s="1072"/>
      <c r="B123" s="1071"/>
      <c r="D123" s="1073"/>
      <c r="E123" s="1065"/>
      <c r="F123" s="1071"/>
    </row>
    <row r="124" spans="1:6" s="1067" customFormat="1">
      <c r="A124" s="1072"/>
      <c r="B124" s="1071"/>
      <c r="D124" s="1073"/>
      <c r="E124" s="1065"/>
      <c r="F124" s="1071"/>
    </row>
    <row r="125" spans="1:6" s="1067" customFormat="1">
      <c r="A125" s="1072"/>
      <c r="B125" s="1071"/>
      <c r="D125" s="1073"/>
      <c r="E125" s="1065"/>
      <c r="F125" s="1071"/>
    </row>
    <row r="126" spans="1:6" s="1067" customFormat="1">
      <c r="A126" s="1072"/>
      <c r="B126" s="1071"/>
      <c r="D126" s="1073"/>
      <c r="E126" s="1065"/>
      <c r="F126" s="1071"/>
    </row>
    <row r="127" spans="1:6" s="1067" customFormat="1">
      <c r="A127" s="1072"/>
      <c r="B127" s="1071"/>
      <c r="D127" s="1073"/>
      <c r="E127" s="1065"/>
      <c r="F127" s="1071"/>
    </row>
    <row r="128" spans="1:6" s="1067" customFormat="1">
      <c r="A128" s="1072"/>
      <c r="B128" s="1071"/>
      <c r="D128" s="1073"/>
      <c r="E128" s="1065"/>
      <c r="F128" s="1071"/>
    </row>
    <row r="129" spans="1:6" s="1067" customFormat="1">
      <c r="A129" s="1072"/>
      <c r="B129" s="1071"/>
      <c r="D129" s="1073"/>
      <c r="E129" s="1065"/>
      <c r="F129" s="1071"/>
    </row>
    <row r="130" spans="1:6" s="1067" customFormat="1">
      <c r="A130" s="1072"/>
      <c r="B130" s="1071"/>
      <c r="D130" s="1073"/>
      <c r="E130" s="1065"/>
      <c r="F130" s="1071"/>
    </row>
    <row r="131" spans="1:6" s="1067" customFormat="1">
      <c r="A131" s="1072"/>
      <c r="B131" s="1071"/>
      <c r="D131" s="1073"/>
      <c r="E131" s="1065"/>
      <c r="F131" s="1071"/>
    </row>
    <row r="132" spans="1:6" s="1067" customFormat="1">
      <c r="A132" s="1072"/>
      <c r="B132" s="1071"/>
      <c r="D132" s="1073"/>
      <c r="E132" s="1065"/>
      <c r="F132" s="1071"/>
    </row>
    <row r="133" spans="1:6" s="1067" customFormat="1">
      <c r="A133" s="1072"/>
      <c r="B133" s="1071"/>
      <c r="D133" s="1073"/>
      <c r="E133" s="1065"/>
      <c r="F133" s="1071"/>
    </row>
    <row r="134" spans="1:6" s="1067" customFormat="1">
      <c r="A134" s="1072"/>
      <c r="B134" s="1071"/>
      <c r="D134" s="1073"/>
      <c r="E134" s="1065"/>
      <c r="F134" s="1071"/>
    </row>
    <row r="135" spans="1:6" s="1067" customFormat="1">
      <c r="A135" s="1072"/>
      <c r="B135" s="1071"/>
      <c r="D135" s="1073"/>
      <c r="E135" s="1065"/>
      <c r="F135" s="1071"/>
    </row>
    <row r="136" spans="1:6" s="1067" customFormat="1">
      <c r="A136" s="1072"/>
      <c r="B136" s="1071"/>
      <c r="D136" s="1073"/>
      <c r="E136" s="1065"/>
      <c r="F136" s="1071"/>
    </row>
    <row r="137" spans="1:6" s="1067" customFormat="1">
      <c r="A137" s="1072"/>
      <c r="B137" s="1071"/>
      <c r="D137" s="1073"/>
      <c r="E137" s="1065"/>
      <c r="F137" s="1071"/>
    </row>
    <row r="138" spans="1:6" s="1067" customFormat="1">
      <c r="A138" s="1072"/>
      <c r="B138" s="1071"/>
      <c r="D138" s="1073"/>
      <c r="E138" s="1065"/>
      <c r="F138" s="1071"/>
    </row>
    <row r="139" spans="1:6" s="1067" customFormat="1">
      <c r="A139" s="1072"/>
      <c r="B139" s="1071"/>
      <c r="D139" s="1073"/>
      <c r="E139" s="1065"/>
      <c r="F139" s="1071"/>
    </row>
    <row r="140" spans="1:6" s="1067" customFormat="1">
      <c r="A140" s="1072"/>
      <c r="B140" s="1071"/>
      <c r="D140" s="1073"/>
      <c r="E140" s="1065"/>
      <c r="F140" s="1071"/>
    </row>
    <row r="141" spans="1:6" s="1067" customFormat="1">
      <c r="A141" s="1072"/>
      <c r="B141" s="1071"/>
      <c r="D141" s="1073"/>
      <c r="E141" s="1065"/>
      <c r="F141" s="1071"/>
    </row>
    <row r="142" spans="1:6" s="1067" customFormat="1">
      <c r="A142" s="1072"/>
      <c r="B142" s="1071"/>
      <c r="D142" s="1073"/>
      <c r="E142" s="1065"/>
      <c r="F142" s="1071"/>
    </row>
    <row r="143" spans="1:6" s="1067" customFormat="1">
      <c r="A143" s="1072"/>
      <c r="B143" s="1071"/>
      <c r="D143" s="1073"/>
      <c r="E143" s="1065"/>
      <c r="F143" s="1071"/>
    </row>
    <row r="144" spans="1:6" s="1067" customFormat="1">
      <c r="A144" s="1072"/>
      <c r="B144" s="1071"/>
      <c r="D144" s="1073"/>
      <c r="E144" s="1065"/>
      <c r="F144" s="1071"/>
    </row>
    <row r="145" spans="1:6" s="1067" customFormat="1">
      <c r="A145" s="1072"/>
      <c r="B145" s="1071"/>
      <c r="D145" s="1073"/>
      <c r="E145" s="1065"/>
      <c r="F145" s="1071"/>
    </row>
    <row r="146" spans="1:6" s="1067" customFormat="1">
      <c r="A146" s="1072"/>
      <c r="B146" s="1071"/>
      <c r="D146" s="1073"/>
      <c r="E146" s="1065"/>
      <c r="F146" s="1071"/>
    </row>
    <row r="147" spans="1:6" s="1067" customFormat="1">
      <c r="A147" s="1072"/>
      <c r="B147" s="1071"/>
      <c r="D147" s="1073"/>
      <c r="E147" s="1065"/>
      <c r="F147" s="1071"/>
    </row>
    <row r="148" spans="1:6" s="1067" customFormat="1">
      <c r="A148" s="1072"/>
      <c r="B148" s="1071"/>
      <c r="D148" s="1073"/>
      <c r="E148" s="1065"/>
      <c r="F148" s="1071"/>
    </row>
    <row r="149" spans="1:6" s="1067" customFormat="1">
      <c r="A149" s="1072"/>
      <c r="B149" s="1071"/>
      <c r="D149" s="1073"/>
      <c r="E149" s="1065"/>
      <c r="F149" s="1071"/>
    </row>
    <row r="150" spans="1:6" s="1067" customFormat="1">
      <c r="A150" s="1072"/>
      <c r="B150" s="1071"/>
      <c r="D150" s="1073"/>
      <c r="E150" s="1065"/>
      <c r="F150" s="1071"/>
    </row>
    <row r="151" spans="1:6" s="1067" customFormat="1">
      <c r="A151" s="1072"/>
      <c r="B151" s="1071"/>
      <c r="D151" s="1073"/>
      <c r="E151" s="1065"/>
      <c r="F151" s="1071"/>
    </row>
    <row r="152" spans="1:6" s="1067" customFormat="1">
      <c r="A152" s="1072"/>
      <c r="B152" s="1071"/>
      <c r="D152" s="1073"/>
      <c r="E152" s="1065"/>
      <c r="F152" s="1071"/>
    </row>
    <row r="153" spans="1:6" s="1067" customFormat="1">
      <c r="A153" s="1072"/>
      <c r="B153" s="1071"/>
      <c r="D153" s="1073"/>
      <c r="E153" s="1065"/>
      <c r="F153" s="1071"/>
    </row>
    <row r="154" spans="1:6" s="1067" customFormat="1">
      <c r="A154" s="1072"/>
      <c r="B154" s="1071"/>
      <c r="D154" s="1073"/>
      <c r="E154" s="1065"/>
      <c r="F154" s="1071"/>
    </row>
    <row r="155" spans="1:6" s="1067" customFormat="1">
      <c r="A155" s="1072"/>
      <c r="B155" s="1071"/>
      <c r="D155" s="1073"/>
      <c r="E155" s="1065"/>
      <c r="F155" s="1071"/>
    </row>
    <row r="156" spans="1:6" s="1067" customFormat="1">
      <c r="A156" s="1072"/>
      <c r="B156" s="1071"/>
      <c r="D156" s="1073"/>
      <c r="E156" s="1065"/>
      <c r="F156" s="1071"/>
    </row>
    <row r="157" spans="1:6" s="1067" customFormat="1">
      <c r="A157" s="1072"/>
      <c r="B157" s="1071"/>
      <c r="D157" s="1073"/>
      <c r="E157" s="1065"/>
      <c r="F157" s="1071"/>
    </row>
    <row r="158" spans="1:6" s="1067" customFormat="1">
      <c r="A158" s="1072"/>
      <c r="B158" s="1071"/>
      <c r="D158" s="1073"/>
      <c r="E158" s="1065"/>
      <c r="F158" s="1071"/>
    </row>
    <row r="159" spans="1:6" s="1067" customFormat="1">
      <c r="A159" s="1072"/>
      <c r="B159" s="1071"/>
      <c r="D159" s="1073"/>
      <c r="E159" s="1065"/>
      <c r="F159" s="1071"/>
    </row>
    <row r="160" spans="1:6" s="1067" customFormat="1">
      <c r="A160" s="1072"/>
      <c r="B160" s="1071"/>
      <c r="D160" s="1073"/>
      <c r="E160" s="1065"/>
      <c r="F160" s="1071"/>
    </row>
    <row r="161" spans="1:6" s="1067" customFormat="1">
      <c r="A161" s="1072"/>
      <c r="B161" s="1071"/>
      <c r="D161" s="1073"/>
      <c r="E161" s="1065"/>
      <c r="F161" s="1071"/>
    </row>
    <row r="162" spans="1:6" s="1067" customFormat="1">
      <c r="A162" s="1072"/>
      <c r="B162" s="1071"/>
      <c r="D162" s="1073"/>
      <c r="E162" s="1065"/>
      <c r="F162" s="1071"/>
    </row>
    <row r="163" spans="1:6" s="1067" customFormat="1">
      <c r="A163" s="1072"/>
      <c r="B163" s="1071"/>
      <c r="D163" s="1073"/>
      <c r="E163" s="1065"/>
      <c r="F163" s="1071"/>
    </row>
    <row r="164" spans="1:6" s="1067" customFormat="1">
      <c r="A164" s="1072"/>
      <c r="B164" s="1071"/>
      <c r="D164" s="1073"/>
      <c r="E164" s="1065"/>
      <c r="F164" s="1071"/>
    </row>
    <row r="165" spans="1:6" s="1067" customFormat="1">
      <c r="A165" s="1072"/>
      <c r="B165" s="1071"/>
      <c r="D165" s="1073"/>
      <c r="E165" s="1065"/>
      <c r="F165" s="1071"/>
    </row>
    <row r="166" spans="1:6" s="1067" customFormat="1">
      <c r="A166" s="1072"/>
      <c r="B166" s="1071"/>
      <c r="D166" s="1073"/>
      <c r="E166" s="1065"/>
      <c r="F166" s="1071"/>
    </row>
    <row r="167" spans="1:6" s="1067" customFormat="1">
      <c r="A167" s="1072"/>
      <c r="B167" s="1071"/>
      <c r="D167" s="1073"/>
      <c r="E167" s="1065"/>
      <c r="F167" s="1071"/>
    </row>
    <row r="168" spans="1:6" s="1067" customFormat="1">
      <c r="A168" s="1072"/>
      <c r="B168" s="1071"/>
      <c r="D168" s="1073"/>
      <c r="E168" s="1065"/>
      <c r="F168" s="1071"/>
    </row>
    <row r="169" spans="1:6" s="1067" customFormat="1">
      <c r="A169" s="1072"/>
      <c r="B169" s="1071"/>
      <c r="D169" s="1073"/>
      <c r="E169" s="1065"/>
      <c r="F169" s="1071"/>
    </row>
    <row r="170" spans="1:6" s="1067" customFormat="1">
      <c r="A170" s="1072"/>
      <c r="B170" s="1071"/>
      <c r="D170" s="1073"/>
      <c r="E170" s="1065"/>
      <c r="F170" s="1071"/>
    </row>
    <row r="171" spans="1:6" s="1067" customFormat="1">
      <c r="A171" s="1072"/>
      <c r="B171" s="1071"/>
      <c r="D171" s="1073"/>
      <c r="E171" s="1065"/>
      <c r="F171" s="1071"/>
    </row>
    <row r="172" spans="1:6" s="1067" customFormat="1">
      <c r="A172" s="1072"/>
      <c r="B172" s="1071"/>
      <c r="D172" s="1073"/>
      <c r="E172" s="1065"/>
      <c r="F172" s="1071"/>
    </row>
    <row r="173" spans="1:6" s="1067" customFormat="1">
      <c r="A173" s="1072"/>
      <c r="B173" s="1071"/>
      <c r="D173" s="1073"/>
      <c r="E173" s="1065"/>
      <c r="F173" s="1071"/>
    </row>
    <row r="174" spans="1:6" s="1067" customFormat="1">
      <c r="A174" s="1072"/>
      <c r="B174" s="1071"/>
      <c r="D174" s="1073"/>
      <c r="E174" s="1065"/>
      <c r="F174" s="1071"/>
    </row>
    <row r="175" spans="1:6" s="1067" customFormat="1">
      <c r="A175" s="1072"/>
      <c r="B175" s="1071"/>
      <c r="D175" s="1073"/>
      <c r="E175" s="1065"/>
      <c r="F175" s="1071"/>
    </row>
    <row r="176" spans="1:6" s="1067" customFormat="1">
      <c r="A176" s="1072"/>
      <c r="B176" s="1071"/>
      <c r="D176" s="1073"/>
      <c r="E176" s="1065"/>
      <c r="F176" s="1071"/>
    </row>
    <row r="177" spans="1:6" s="1067" customFormat="1">
      <c r="A177" s="1072"/>
      <c r="B177" s="1071"/>
      <c r="D177" s="1073"/>
      <c r="E177" s="1065"/>
      <c r="F177" s="1071"/>
    </row>
    <row r="178" spans="1:6" s="1067" customFormat="1">
      <c r="A178" s="1072"/>
      <c r="B178" s="1071"/>
      <c r="D178" s="1073"/>
      <c r="E178" s="1065"/>
      <c r="F178" s="1071"/>
    </row>
    <row r="179" spans="1:6" s="1067" customFormat="1">
      <c r="A179" s="1072"/>
      <c r="B179" s="1071"/>
      <c r="D179" s="1073"/>
      <c r="E179" s="1065"/>
      <c r="F179" s="1071"/>
    </row>
    <row r="180" spans="1:6" s="1067" customFormat="1">
      <c r="A180" s="1072"/>
      <c r="B180" s="1071"/>
      <c r="D180" s="1073"/>
      <c r="E180" s="1065"/>
      <c r="F180" s="1071"/>
    </row>
    <row r="181" spans="1:6" s="1067" customFormat="1">
      <c r="A181" s="1072"/>
      <c r="B181" s="1071"/>
      <c r="D181" s="1073"/>
      <c r="E181" s="1065"/>
      <c r="F181" s="1071"/>
    </row>
    <row r="182" spans="1:6" s="1067" customFormat="1">
      <c r="A182" s="1072"/>
      <c r="B182" s="1071"/>
      <c r="D182" s="1073"/>
      <c r="E182" s="1065"/>
      <c r="F182" s="1071"/>
    </row>
    <row r="183" spans="1:6" s="1067" customFormat="1">
      <c r="A183" s="1072"/>
      <c r="B183" s="1071"/>
      <c r="D183" s="1073"/>
      <c r="E183" s="1065"/>
      <c r="F183" s="1071"/>
    </row>
    <row r="184" spans="1:6" s="1067" customFormat="1">
      <c r="A184" s="1072"/>
      <c r="B184" s="1071"/>
      <c r="D184" s="1073"/>
      <c r="E184" s="1065"/>
      <c r="F184" s="1071"/>
    </row>
    <row r="185" spans="1:6" s="1067" customFormat="1">
      <c r="A185" s="1072"/>
      <c r="B185" s="1071"/>
      <c r="D185" s="1073"/>
      <c r="E185" s="1065"/>
      <c r="F185" s="1071"/>
    </row>
    <row r="186" spans="1:6" s="1067" customFormat="1">
      <c r="A186" s="1072"/>
      <c r="B186" s="1071"/>
      <c r="D186" s="1073"/>
      <c r="E186" s="1065"/>
      <c r="F186" s="1071"/>
    </row>
    <row r="187" spans="1:6" s="1067" customFormat="1">
      <c r="A187" s="1072"/>
      <c r="B187" s="1071"/>
      <c r="D187" s="1073"/>
      <c r="E187" s="1065"/>
      <c r="F187" s="1071"/>
    </row>
    <row r="188" spans="1:6" s="1067" customFormat="1">
      <c r="A188" s="1072"/>
      <c r="B188" s="1071"/>
      <c r="D188" s="1073"/>
      <c r="E188" s="1065"/>
      <c r="F188" s="1071"/>
    </row>
    <row r="189" spans="1:6" s="1067" customFormat="1">
      <c r="A189" s="1072"/>
      <c r="B189" s="1071"/>
      <c r="D189" s="1073"/>
      <c r="E189" s="1065"/>
      <c r="F189" s="1071"/>
    </row>
    <row r="190" spans="1:6" s="1067" customFormat="1">
      <c r="A190" s="1072"/>
      <c r="B190" s="1071"/>
      <c r="D190" s="1073"/>
      <c r="E190" s="1065"/>
      <c r="F190" s="1071"/>
    </row>
    <row r="191" spans="1:6" s="1067" customFormat="1">
      <c r="A191" s="1072"/>
      <c r="B191" s="1071"/>
      <c r="D191" s="1073"/>
      <c r="E191" s="1065"/>
      <c r="F191" s="1071"/>
    </row>
    <row r="192" spans="1:6" s="1067" customFormat="1">
      <c r="A192" s="1072"/>
      <c r="B192" s="1071"/>
      <c r="D192" s="1073"/>
      <c r="E192" s="1065"/>
      <c r="F192" s="1071"/>
    </row>
    <row r="193" spans="1:6" s="1067" customFormat="1">
      <c r="A193" s="1072"/>
      <c r="B193" s="1071"/>
      <c r="D193" s="1073"/>
      <c r="E193" s="1065"/>
      <c r="F193" s="1071"/>
    </row>
    <row r="194" spans="1:6" s="1067" customFormat="1">
      <c r="A194" s="1072"/>
      <c r="B194" s="1071"/>
      <c r="D194" s="1073"/>
      <c r="E194" s="1065"/>
      <c r="F194" s="1071"/>
    </row>
    <row r="195" spans="1:6" s="1067" customFormat="1">
      <c r="A195" s="1072"/>
      <c r="B195" s="1071"/>
      <c r="D195" s="1073"/>
      <c r="E195" s="1065"/>
      <c r="F195" s="1071"/>
    </row>
    <row r="196" spans="1:6" s="1067" customFormat="1">
      <c r="A196" s="1072"/>
      <c r="B196" s="1071"/>
      <c r="D196" s="1073"/>
      <c r="E196" s="1065"/>
      <c r="F196" s="1071"/>
    </row>
    <row r="197" spans="1:6" s="1067" customFormat="1">
      <c r="A197" s="1072"/>
      <c r="B197" s="1071"/>
      <c r="D197" s="1073"/>
      <c r="E197" s="1065"/>
      <c r="F197" s="1071"/>
    </row>
    <row r="198" spans="1:6" s="1067" customFormat="1">
      <c r="A198" s="1072"/>
      <c r="B198" s="1071"/>
      <c r="D198" s="1073"/>
      <c r="E198" s="1065"/>
      <c r="F198" s="1071"/>
    </row>
    <row r="199" spans="1:6" s="1067" customFormat="1">
      <c r="A199" s="1072"/>
      <c r="B199" s="1071"/>
      <c r="D199" s="1073"/>
      <c r="E199" s="1065"/>
      <c r="F199" s="1071"/>
    </row>
    <row r="200" spans="1:6" s="1067" customFormat="1">
      <c r="A200" s="1072"/>
      <c r="B200" s="1071"/>
      <c r="D200" s="1073"/>
      <c r="E200" s="1065"/>
      <c r="F200" s="1071"/>
    </row>
    <row r="201" spans="1:6" s="1067" customFormat="1">
      <c r="A201" s="1072"/>
      <c r="B201" s="1071"/>
      <c r="D201" s="1073"/>
      <c r="E201" s="1065"/>
      <c r="F201" s="1071"/>
    </row>
    <row r="202" spans="1:6" s="1067" customFormat="1">
      <c r="A202" s="1072"/>
      <c r="B202" s="1071"/>
      <c r="D202" s="1073"/>
      <c r="E202" s="1065"/>
      <c r="F202" s="1071"/>
    </row>
    <row r="203" spans="1:6" s="1067" customFormat="1">
      <c r="A203" s="1072"/>
      <c r="B203" s="1071"/>
      <c r="D203" s="1073"/>
      <c r="E203" s="1065"/>
      <c r="F203" s="1071"/>
    </row>
    <row r="204" spans="1:6" s="1067" customFormat="1">
      <c r="A204" s="1072"/>
      <c r="B204" s="1071"/>
      <c r="D204" s="1073"/>
      <c r="E204" s="1065"/>
      <c r="F204" s="1071"/>
    </row>
    <row r="205" spans="1:6" s="1067" customFormat="1">
      <c r="A205" s="1072"/>
      <c r="B205" s="1071"/>
      <c r="D205" s="1073"/>
      <c r="E205" s="1065"/>
      <c r="F205" s="1071"/>
    </row>
    <row r="206" spans="1:6" s="1067" customFormat="1">
      <c r="A206" s="1072"/>
      <c r="B206" s="1071"/>
      <c r="D206" s="1073"/>
      <c r="E206" s="1065"/>
      <c r="F206" s="1071"/>
    </row>
    <row r="207" spans="1:6" s="1067" customFormat="1">
      <c r="A207" s="1072"/>
      <c r="B207" s="1071"/>
      <c r="D207" s="1073"/>
      <c r="E207" s="1065"/>
      <c r="F207" s="1071"/>
    </row>
    <row r="208" spans="1:6" s="1067" customFormat="1">
      <c r="A208" s="1072"/>
      <c r="B208" s="1071"/>
      <c r="D208" s="1073"/>
      <c r="E208" s="1065"/>
      <c r="F208" s="1071"/>
    </row>
    <row r="209" spans="1:6" s="1067" customFormat="1">
      <c r="A209" s="1072"/>
      <c r="B209" s="1071"/>
      <c r="D209" s="1073"/>
      <c r="E209" s="1065"/>
      <c r="F209" s="1071"/>
    </row>
    <row r="210" spans="1:6" s="1067" customFormat="1">
      <c r="A210" s="1072"/>
      <c r="B210" s="1071"/>
      <c r="D210" s="1073"/>
      <c r="E210" s="1065"/>
      <c r="F210" s="1071"/>
    </row>
    <row r="211" spans="1:6" s="1067" customFormat="1">
      <c r="A211" s="1072"/>
      <c r="B211" s="1071"/>
      <c r="D211" s="1073"/>
      <c r="E211" s="1065"/>
      <c r="F211" s="1071"/>
    </row>
    <row r="212" spans="1:6" s="1067" customFormat="1">
      <c r="A212" s="1072"/>
      <c r="B212" s="1071"/>
      <c r="D212" s="1073"/>
      <c r="E212" s="1065"/>
      <c r="F212" s="1071"/>
    </row>
    <row r="213" spans="1:6" s="1067" customFormat="1">
      <c r="A213" s="1072"/>
      <c r="B213" s="1071"/>
      <c r="D213" s="1073"/>
      <c r="E213" s="1065"/>
      <c r="F213" s="1071"/>
    </row>
    <row r="214" spans="1:6" s="1067" customFormat="1">
      <c r="A214" s="1072"/>
      <c r="B214" s="1071"/>
      <c r="D214" s="1073"/>
      <c r="E214" s="1065"/>
      <c r="F214" s="1071"/>
    </row>
    <row r="215" spans="1:6" s="1067" customFormat="1">
      <c r="A215" s="1072"/>
      <c r="B215" s="1071"/>
      <c r="D215" s="1073"/>
      <c r="E215" s="1065"/>
      <c r="F215" s="1071"/>
    </row>
    <row r="216" spans="1:6" s="1067" customFormat="1">
      <c r="A216" s="1072"/>
      <c r="B216" s="1071"/>
      <c r="D216" s="1073"/>
      <c r="E216" s="1065"/>
      <c r="F216" s="1071"/>
    </row>
    <row r="217" spans="1:6" s="1067" customFormat="1">
      <c r="A217" s="1072"/>
      <c r="B217" s="1071"/>
      <c r="D217" s="1073"/>
      <c r="E217" s="1065"/>
      <c r="F217" s="1071"/>
    </row>
    <row r="218" spans="1:6" s="1067" customFormat="1">
      <c r="A218" s="1072"/>
      <c r="B218" s="1071"/>
      <c r="D218" s="1073"/>
      <c r="E218" s="1065"/>
      <c r="F218" s="1071"/>
    </row>
    <row r="219" spans="1:6" s="1067" customFormat="1">
      <c r="A219" s="1072"/>
      <c r="B219" s="1071"/>
      <c r="D219" s="1073"/>
      <c r="E219" s="1065"/>
      <c r="F219" s="1071"/>
    </row>
    <row r="220" spans="1:6" s="1067" customFormat="1">
      <c r="A220" s="1072"/>
      <c r="B220" s="1071"/>
      <c r="D220" s="1073"/>
      <c r="E220" s="1065"/>
      <c r="F220" s="1071"/>
    </row>
    <row r="221" spans="1:6" s="1067" customFormat="1">
      <c r="A221" s="1072"/>
      <c r="B221" s="1071"/>
      <c r="D221" s="1073"/>
      <c r="E221" s="1065"/>
      <c r="F221" s="1071"/>
    </row>
    <row r="222" spans="1:6" s="1067" customFormat="1">
      <c r="A222" s="1072"/>
      <c r="B222" s="1071"/>
      <c r="D222" s="1073"/>
      <c r="E222" s="1065"/>
      <c r="F222" s="1071"/>
    </row>
    <row r="223" spans="1:6" s="1067" customFormat="1">
      <c r="A223" s="1072"/>
      <c r="B223" s="1071"/>
      <c r="D223" s="1073"/>
      <c r="E223" s="1065"/>
      <c r="F223" s="1071"/>
    </row>
    <row r="224" spans="1:6" s="1067" customFormat="1">
      <c r="A224" s="1072"/>
      <c r="B224" s="1071"/>
      <c r="D224" s="1073"/>
      <c r="E224" s="1065"/>
      <c r="F224" s="1071"/>
    </row>
    <row r="225" spans="1:6" s="1067" customFormat="1">
      <c r="A225" s="1072"/>
      <c r="B225" s="1071"/>
      <c r="D225" s="1073"/>
      <c r="E225" s="1065"/>
      <c r="F225" s="1071"/>
    </row>
    <row r="226" spans="1:6" s="1067" customFormat="1">
      <c r="A226" s="1072"/>
      <c r="B226" s="1071"/>
      <c r="D226" s="1073"/>
      <c r="E226" s="1065"/>
      <c r="F226" s="1071"/>
    </row>
    <row r="227" spans="1:6" s="1067" customFormat="1">
      <c r="A227" s="1072"/>
      <c r="B227" s="1071"/>
      <c r="D227" s="1073"/>
      <c r="E227" s="1065"/>
      <c r="F227" s="1071"/>
    </row>
    <row r="228" spans="1:6" s="1067" customFormat="1">
      <c r="A228" s="1072"/>
      <c r="B228" s="1071"/>
      <c r="D228" s="1073"/>
      <c r="E228" s="1065"/>
      <c r="F228" s="1071"/>
    </row>
    <row r="229" spans="1:6" s="1067" customFormat="1">
      <c r="A229" s="1072"/>
      <c r="B229" s="1071"/>
      <c r="D229" s="1073"/>
      <c r="E229" s="1065"/>
      <c r="F229" s="1071"/>
    </row>
    <row r="230" spans="1:6" s="1067" customFormat="1">
      <c r="A230" s="1072"/>
      <c r="B230" s="1071"/>
      <c r="D230" s="1073"/>
      <c r="E230" s="1065"/>
      <c r="F230" s="1071"/>
    </row>
    <row r="231" spans="1:6" s="1067" customFormat="1">
      <c r="A231" s="1072"/>
      <c r="B231" s="1071"/>
      <c r="D231" s="1073"/>
      <c r="E231" s="1065"/>
      <c r="F231" s="1071"/>
    </row>
    <row r="232" spans="1:6" s="1067" customFormat="1">
      <c r="A232" s="1072"/>
      <c r="B232" s="1071"/>
      <c r="D232" s="1073"/>
      <c r="E232" s="1065"/>
      <c r="F232" s="1071"/>
    </row>
    <row r="233" spans="1:6" s="1067" customFormat="1">
      <c r="A233" s="1072"/>
      <c r="B233" s="1071"/>
      <c r="D233" s="1073"/>
      <c r="E233" s="1065"/>
      <c r="F233" s="1071"/>
    </row>
    <row r="234" spans="1:6" s="1067" customFormat="1">
      <c r="A234" s="1072"/>
      <c r="B234" s="1071"/>
      <c r="D234" s="1073"/>
      <c r="E234" s="1065"/>
      <c r="F234" s="1071"/>
    </row>
    <row r="235" spans="1:6" s="1067" customFormat="1">
      <c r="A235" s="1072"/>
      <c r="B235" s="1071"/>
      <c r="D235" s="1073"/>
      <c r="E235" s="1065"/>
      <c r="F235" s="1071"/>
    </row>
    <row r="236" spans="1:6" s="1067" customFormat="1">
      <c r="A236" s="1072"/>
      <c r="B236" s="1071"/>
      <c r="D236" s="1073"/>
      <c r="E236" s="1065"/>
      <c r="F236" s="1071"/>
    </row>
    <row r="237" spans="1:6" s="1067" customFormat="1">
      <c r="A237" s="1072"/>
      <c r="B237" s="1071"/>
      <c r="D237" s="1073"/>
      <c r="E237" s="1065"/>
      <c r="F237" s="1071"/>
    </row>
    <row r="238" spans="1:6" s="1067" customFormat="1">
      <c r="A238" s="1072"/>
      <c r="B238" s="1071"/>
      <c r="D238" s="1073"/>
      <c r="E238" s="1065"/>
      <c r="F238" s="1071"/>
    </row>
    <row r="239" spans="1:6" s="1067" customFormat="1">
      <c r="A239" s="1072"/>
      <c r="B239" s="1071"/>
      <c r="D239" s="1073"/>
      <c r="E239" s="1065"/>
      <c r="F239" s="1071"/>
    </row>
    <row r="240" spans="1:6" s="1067" customFormat="1">
      <c r="A240" s="1072"/>
      <c r="B240" s="1071"/>
      <c r="D240" s="1073"/>
      <c r="E240" s="1065"/>
      <c r="F240" s="1071"/>
    </row>
    <row r="241" spans="1:6" s="1067" customFormat="1">
      <c r="A241" s="1072"/>
      <c r="B241" s="1071"/>
      <c r="D241" s="1073"/>
      <c r="E241" s="1065"/>
      <c r="F241" s="1071"/>
    </row>
    <row r="242" spans="1:6" s="1067" customFormat="1">
      <c r="A242" s="1072"/>
      <c r="B242" s="1071"/>
      <c r="D242" s="1073"/>
      <c r="E242" s="1065"/>
      <c r="F242" s="1071"/>
    </row>
    <row r="243" spans="1:6" s="1067" customFormat="1">
      <c r="A243" s="1072"/>
      <c r="B243" s="1071"/>
      <c r="D243" s="1073"/>
      <c r="E243" s="1065"/>
      <c r="F243" s="1071"/>
    </row>
    <row r="244" spans="1:6" s="1067" customFormat="1">
      <c r="A244" s="1072"/>
      <c r="B244" s="1071"/>
      <c r="D244" s="1073"/>
      <c r="E244" s="1065"/>
      <c r="F244" s="1071"/>
    </row>
    <row r="245" spans="1:6" s="1067" customFormat="1">
      <c r="A245" s="1072"/>
      <c r="B245" s="1071"/>
      <c r="D245" s="1073"/>
      <c r="E245" s="1065"/>
      <c r="F245" s="1071"/>
    </row>
    <row r="246" spans="1:6" s="1067" customFormat="1">
      <c r="A246" s="1072"/>
      <c r="B246" s="1071"/>
      <c r="D246" s="1073"/>
      <c r="E246" s="1065"/>
      <c r="F246" s="1071"/>
    </row>
    <row r="247" spans="1:6" s="1067" customFormat="1">
      <c r="A247" s="1072"/>
      <c r="B247" s="1071"/>
      <c r="D247" s="1073"/>
      <c r="E247" s="1065"/>
      <c r="F247" s="1071"/>
    </row>
    <row r="248" spans="1:6" s="1067" customFormat="1">
      <c r="A248" s="1072"/>
      <c r="B248" s="1071"/>
      <c r="D248" s="1073"/>
      <c r="E248" s="1065"/>
      <c r="F248" s="1071"/>
    </row>
    <row r="249" spans="1:6" s="1067" customFormat="1">
      <c r="A249" s="1072"/>
      <c r="B249" s="1071"/>
      <c r="D249" s="1073"/>
      <c r="E249" s="1065"/>
      <c r="F249" s="1071"/>
    </row>
    <row r="250" spans="1:6" s="1067" customFormat="1">
      <c r="A250" s="1072"/>
      <c r="B250" s="1071"/>
      <c r="D250" s="1073"/>
      <c r="E250" s="1065"/>
      <c r="F250" s="1071"/>
    </row>
    <row r="251" spans="1:6" s="1067" customFormat="1">
      <c r="A251" s="1072"/>
      <c r="B251" s="1071"/>
      <c r="D251" s="1073"/>
      <c r="E251" s="1065"/>
      <c r="F251" s="1071"/>
    </row>
    <row r="252" spans="1:6" s="1067" customFormat="1">
      <c r="A252" s="1072"/>
      <c r="B252" s="1071"/>
      <c r="D252" s="1073"/>
      <c r="E252" s="1065"/>
      <c r="F252" s="1071"/>
    </row>
    <row r="253" spans="1:6" s="1067" customFormat="1">
      <c r="A253" s="1072"/>
      <c r="B253" s="1071"/>
      <c r="D253" s="1073"/>
      <c r="E253" s="1065"/>
      <c r="F253" s="1071"/>
    </row>
    <row r="254" spans="1:6" s="1067" customFormat="1">
      <c r="A254" s="1072"/>
      <c r="B254" s="1071"/>
      <c r="D254" s="1073"/>
      <c r="E254" s="1065"/>
      <c r="F254" s="1071"/>
    </row>
    <row r="255" spans="1:6" s="1067" customFormat="1">
      <c r="A255" s="1072"/>
      <c r="B255" s="1071"/>
      <c r="D255" s="1073"/>
      <c r="E255" s="1065"/>
      <c r="F255" s="1071"/>
    </row>
    <row r="256" spans="1:6" s="1067" customFormat="1">
      <c r="A256" s="1072"/>
      <c r="B256" s="1071"/>
      <c r="D256" s="1073"/>
      <c r="E256" s="1065"/>
      <c r="F256" s="1071"/>
    </row>
    <row r="257" spans="1:6" s="1067" customFormat="1">
      <c r="A257" s="1072"/>
      <c r="B257" s="1071"/>
      <c r="D257" s="1073"/>
      <c r="E257" s="1065"/>
      <c r="F257" s="1071"/>
    </row>
    <row r="258" spans="1:6" s="1067" customFormat="1">
      <c r="A258" s="1072"/>
      <c r="B258" s="1071"/>
      <c r="D258" s="1073"/>
      <c r="E258" s="1065"/>
      <c r="F258" s="1071"/>
    </row>
    <row r="259" spans="1:6" s="1067" customFormat="1">
      <c r="A259" s="1072"/>
      <c r="B259" s="1071"/>
      <c r="D259" s="1073"/>
      <c r="E259" s="1065"/>
      <c r="F259" s="1071"/>
    </row>
    <row r="260" spans="1:6" s="1067" customFormat="1">
      <c r="A260" s="1072"/>
      <c r="B260" s="1071"/>
      <c r="D260" s="1073"/>
      <c r="E260" s="1065"/>
      <c r="F260" s="1071"/>
    </row>
    <row r="261" spans="1:6" s="1067" customFormat="1">
      <c r="A261" s="1072"/>
      <c r="B261" s="1071"/>
      <c r="D261" s="1073"/>
      <c r="E261" s="1065"/>
      <c r="F261" s="1071"/>
    </row>
    <row r="262" spans="1:6" s="1067" customFormat="1">
      <c r="A262" s="1072"/>
      <c r="B262" s="1071"/>
      <c r="D262" s="1073"/>
      <c r="E262" s="1065"/>
      <c r="F262" s="1071"/>
    </row>
    <row r="263" spans="1:6" s="1067" customFormat="1">
      <c r="A263" s="1072"/>
      <c r="B263" s="1071"/>
      <c r="D263" s="1073"/>
      <c r="E263" s="1065"/>
      <c r="F263" s="1071"/>
    </row>
    <row r="264" spans="1:6" s="1067" customFormat="1">
      <c r="A264" s="1072"/>
      <c r="B264" s="1071"/>
      <c r="D264" s="1073"/>
      <c r="E264" s="1065"/>
      <c r="F264" s="1071"/>
    </row>
    <row r="265" spans="1:6" s="1067" customFormat="1">
      <c r="A265" s="1072"/>
      <c r="B265" s="1071"/>
      <c r="D265" s="1073"/>
      <c r="E265" s="1065"/>
      <c r="F265" s="1071"/>
    </row>
    <row r="266" spans="1:6" s="1067" customFormat="1">
      <c r="A266" s="1072"/>
      <c r="B266" s="1071"/>
      <c r="D266" s="1073"/>
      <c r="E266" s="1065"/>
      <c r="F266" s="1071"/>
    </row>
    <row r="267" spans="1:6" s="1067" customFormat="1">
      <c r="A267" s="1072"/>
      <c r="B267" s="1071"/>
      <c r="D267" s="1073"/>
      <c r="E267" s="1065"/>
      <c r="F267" s="1071"/>
    </row>
    <row r="268" spans="1:6" s="1067" customFormat="1">
      <c r="A268" s="1072"/>
      <c r="B268" s="1071"/>
      <c r="D268" s="1073"/>
      <c r="E268" s="1065"/>
      <c r="F268" s="1071"/>
    </row>
    <row r="269" spans="1:6" s="1067" customFormat="1">
      <c r="A269" s="1072"/>
      <c r="B269" s="1071"/>
      <c r="D269" s="1073"/>
      <c r="E269" s="1065"/>
      <c r="F269" s="1071"/>
    </row>
    <row r="270" spans="1:6" s="1067" customFormat="1">
      <c r="A270" s="1072"/>
      <c r="B270" s="1071"/>
      <c r="D270" s="1073"/>
      <c r="E270" s="1065"/>
      <c r="F270" s="1071"/>
    </row>
    <row r="271" spans="1:6" s="1067" customFormat="1">
      <c r="A271" s="1072"/>
      <c r="B271" s="1071"/>
      <c r="D271" s="1073"/>
      <c r="E271" s="1065"/>
      <c r="F271" s="1071"/>
    </row>
    <row r="272" spans="1:6" s="1067" customFormat="1">
      <c r="A272" s="1072"/>
      <c r="B272" s="1071"/>
      <c r="D272" s="1073"/>
      <c r="E272" s="1065"/>
      <c r="F272" s="1071"/>
    </row>
    <row r="273" spans="1:6" s="1067" customFormat="1">
      <c r="A273" s="1072"/>
      <c r="B273" s="1071"/>
      <c r="D273" s="1073"/>
      <c r="E273" s="1065"/>
      <c r="F273" s="1071"/>
    </row>
    <row r="274" spans="1:6" s="1067" customFormat="1">
      <c r="A274" s="1072"/>
      <c r="B274" s="1071"/>
      <c r="D274" s="1073"/>
      <c r="E274" s="1065"/>
      <c r="F274" s="1071"/>
    </row>
    <row r="275" spans="1:6" s="1067" customFormat="1">
      <c r="A275" s="1072"/>
      <c r="B275" s="1071"/>
      <c r="D275" s="1073"/>
      <c r="E275" s="1065"/>
      <c r="F275" s="1071"/>
    </row>
    <row r="276" spans="1:6" s="1067" customFormat="1">
      <c r="A276" s="1072"/>
      <c r="B276" s="1071"/>
      <c r="D276" s="1073"/>
      <c r="E276" s="1065"/>
      <c r="F276" s="1071"/>
    </row>
    <row r="277" spans="1:6" s="1067" customFormat="1">
      <c r="A277" s="1072"/>
      <c r="B277" s="1071"/>
      <c r="D277" s="1073"/>
      <c r="E277" s="1065"/>
      <c r="F277" s="1071"/>
    </row>
    <row r="278" spans="1:6" s="1067" customFormat="1">
      <c r="A278" s="1072"/>
      <c r="B278" s="1071"/>
      <c r="D278" s="1073"/>
      <c r="E278" s="1065"/>
      <c r="F278" s="1071"/>
    </row>
    <row r="279" spans="1:6" s="1067" customFormat="1">
      <c r="A279" s="1072"/>
      <c r="B279" s="1071"/>
      <c r="D279" s="1073"/>
      <c r="E279" s="1065"/>
      <c r="F279" s="1071"/>
    </row>
    <row r="280" spans="1:6" s="1067" customFormat="1">
      <c r="A280" s="1072"/>
      <c r="B280" s="1071"/>
      <c r="D280" s="1073"/>
      <c r="E280" s="1065"/>
      <c r="F280" s="1071"/>
    </row>
    <row r="281" spans="1:6" s="1067" customFormat="1">
      <c r="A281" s="1072"/>
      <c r="B281" s="1071"/>
      <c r="D281" s="1073"/>
      <c r="E281" s="1065"/>
      <c r="F281" s="1071"/>
    </row>
    <row r="282" spans="1:6" s="1067" customFormat="1">
      <c r="A282" s="1072"/>
      <c r="B282" s="1071"/>
      <c r="D282" s="1073"/>
      <c r="E282" s="1065"/>
      <c r="F282" s="1071"/>
    </row>
    <row r="283" spans="1:6" s="1067" customFormat="1">
      <c r="A283" s="1072"/>
      <c r="B283" s="1071"/>
      <c r="D283" s="1073"/>
      <c r="E283" s="1065"/>
      <c r="F283" s="1071"/>
    </row>
    <row r="284" spans="1:6" s="1067" customFormat="1">
      <c r="A284" s="1072"/>
      <c r="B284" s="1071"/>
      <c r="D284" s="1073"/>
      <c r="E284" s="1065"/>
      <c r="F284" s="1071"/>
    </row>
    <row r="285" spans="1:6" s="1067" customFormat="1">
      <c r="A285" s="1072"/>
      <c r="B285" s="1071"/>
      <c r="D285" s="1073"/>
      <c r="E285" s="1065"/>
      <c r="F285" s="1071"/>
    </row>
    <row r="286" spans="1:6" s="1067" customFormat="1">
      <c r="A286" s="1072"/>
      <c r="B286" s="1071"/>
      <c r="D286" s="1073"/>
      <c r="E286" s="1065"/>
      <c r="F286" s="1071"/>
    </row>
    <row r="287" spans="1:6" s="1067" customFormat="1">
      <c r="A287" s="1072"/>
      <c r="B287" s="1071"/>
      <c r="D287" s="1073"/>
      <c r="E287" s="1065"/>
      <c r="F287" s="1071"/>
    </row>
    <row r="288" spans="1:6" s="1067" customFormat="1">
      <c r="A288" s="1072"/>
      <c r="B288" s="1071"/>
      <c r="D288" s="1073"/>
      <c r="E288" s="1065"/>
      <c r="F288" s="1071"/>
    </row>
    <row r="289" spans="1:6" s="1067" customFormat="1">
      <c r="A289" s="1072"/>
      <c r="B289" s="1071"/>
      <c r="D289" s="1073"/>
      <c r="E289" s="1065"/>
      <c r="F289" s="1071"/>
    </row>
    <row r="290" spans="1:6" s="1067" customFormat="1">
      <c r="A290" s="1072"/>
      <c r="B290" s="1071"/>
      <c r="D290" s="1073"/>
      <c r="E290" s="1065"/>
      <c r="F290" s="1071"/>
    </row>
    <row r="291" spans="1:6" s="1067" customFormat="1">
      <c r="A291" s="1072"/>
      <c r="B291" s="1071"/>
      <c r="D291" s="1073"/>
      <c r="E291" s="1065"/>
      <c r="F291" s="1071"/>
    </row>
    <row r="292" spans="1:6" s="1067" customFormat="1">
      <c r="A292" s="1072"/>
      <c r="B292" s="1071"/>
      <c r="D292" s="1073"/>
      <c r="E292" s="1065"/>
      <c r="F292" s="1071"/>
    </row>
    <row r="293" spans="1:6" s="1067" customFormat="1">
      <c r="A293" s="1072"/>
      <c r="B293" s="1071"/>
      <c r="D293" s="1073"/>
      <c r="E293" s="1065"/>
      <c r="F293" s="1071"/>
    </row>
    <row r="294" spans="1:6" s="1067" customFormat="1">
      <c r="A294" s="1072"/>
      <c r="B294" s="1071"/>
      <c r="D294" s="1073"/>
      <c r="E294" s="1065"/>
      <c r="F294" s="1071"/>
    </row>
    <row r="295" spans="1:6" s="1067" customFormat="1">
      <c r="A295" s="1072"/>
      <c r="B295" s="1071"/>
      <c r="D295" s="1073"/>
      <c r="E295" s="1065"/>
      <c r="F295" s="1071"/>
    </row>
    <row r="296" spans="1:6" s="1067" customFormat="1">
      <c r="A296" s="1072"/>
      <c r="B296" s="1071"/>
      <c r="D296" s="1073"/>
      <c r="E296" s="1065"/>
      <c r="F296" s="1071"/>
    </row>
    <row r="297" spans="1:6" s="1067" customFormat="1">
      <c r="A297" s="1072"/>
      <c r="B297" s="1071"/>
      <c r="D297" s="1073"/>
      <c r="E297" s="1065"/>
      <c r="F297" s="1071"/>
    </row>
    <row r="298" spans="1:6" s="1067" customFormat="1">
      <c r="A298" s="1072"/>
      <c r="B298" s="1071"/>
      <c r="D298" s="1073"/>
      <c r="E298" s="1065"/>
      <c r="F298" s="1071"/>
    </row>
    <row r="299" spans="1:6" s="1067" customFormat="1">
      <c r="A299" s="1072"/>
      <c r="B299" s="1071"/>
      <c r="D299" s="1073"/>
      <c r="E299" s="1065"/>
      <c r="F299" s="1071"/>
    </row>
    <row r="300" spans="1:6" s="1067" customFormat="1">
      <c r="A300" s="1072"/>
      <c r="B300" s="1071"/>
      <c r="D300" s="1073"/>
      <c r="E300" s="1065"/>
      <c r="F300" s="1071"/>
    </row>
    <row r="301" spans="1:6" s="1067" customFormat="1">
      <c r="A301" s="1072"/>
      <c r="B301" s="1071"/>
      <c r="D301" s="1073"/>
      <c r="E301" s="1065"/>
      <c r="F301" s="1071"/>
    </row>
    <row r="302" spans="1:6" s="1067" customFormat="1">
      <c r="A302" s="1072"/>
      <c r="B302" s="1071"/>
      <c r="D302" s="1073"/>
      <c r="E302" s="1065"/>
      <c r="F302" s="1071"/>
    </row>
    <row r="303" spans="1:6" s="1067" customFormat="1">
      <c r="A303" s="1072"/>
      <c r="B303" s="1071"/>
      <c r="D303" s="1073"/>
      <c r="E303" s="1065"/>
      <c r="F303" s="1071"/>
    </row>
    <row r="304" spans="1:6" s="1067" customFormat="1">
      <c r="A304" s="1072"/>
      <c r="B304" s="1071"/>
      <c r="D304" s="1073"/>
      <c r="E304" s="1065"/>
      <c r="F304" s="1071"/>
    </row>
    <row r="305" spans="1:6" s="1067" customFormat="1">
      <c r="A305" s="1072"/>
      <c r="B305" s="1071"/>
      <c r="D305" s="1073"/>
      <c r="E305" s="1065"/>
      <c r="F305" s="1071"/>
    </row>
    <row r="306" spans="1:6" s="1067" customFormat="1">
      <c r="A306" s="1072"/>
      <c r="B306" s="1071"/>
      <c r="D306" s="1073"/>
      <c r="E306" s="1065"/>
      <c r="F306" s="1071"/>
    </row>
    <row r="307" spans="1:6" s="1067" customFormat="1">
      <c r="A307" s="1072"/>
      <c r="B307" s="1071"/>
      <c r="D307" s="1073"/>
      <c r="E307" s="1065"/>
      <c r="F307" s="1071"/>
    </row>
    <row r="308" spans="1:6" s="1067" customFormat="1">
      <c r="A308" s="1072"/>
      <c r="B308" s="1071"/>
      <c r="D308" s="1073"/>
      <c r="E308" s="1065"/>
      <c r="F308" s="1071"/>
    </row>
    <row r="309" spans="1:6" s="1067" customFormat="1">
      <c r="A309" s="1072"/>
      <c r="B309" s="1071"/>
      <c r="D309" s="1073"/>
      <c r="E309" s="1065"/>
      <c r="F309" s="1071"/>
    </row>
    <row r="310" spans="1:6" s="1067" customFormat="1">
      <c r="A310" s="1072"/>
      <c r="B310" s="1071"/>
      <c r="D310" s="1073"/>
      <c r="E310" s="1065"/>
      <c r="F310" s="1071"/>
    </row>
    <row r="311" spans="1:6" s="1067" customFormat="1">
      <c r="A311" s="1072"/>
      <c r="B311" s="1071"/>
      <c r="D311" s="1073"/>
      <c r="E311" s="1065"/>
      <c r="F311" s="1071"/>
    </row>
    <row r="312" spans="1:6" s="1067" customFormat="1">
      <c r="A312" s="1072"/>
      <c r="B312" s="1071"/>
      <c r="D312" s="1073"/>
      <c r="E312" s="1065"/>
      <c r="F312" s="1071"/>
    </row>
    <row r="313" spans="1:6" s="1067" customFormat="1">
      <c r="A313" s="1072"/>
      <c r="B313" s="1071"/>
      <c r="D313" s="1073"/>
      <c r="E313" s="1065"/>
      <c r="F313" s="1071"/>
    </row>
    <row r="314" spans="1:6" s="1067" customFormat="1">
      <c r="A314" s="1072"/>
      <c r="B314" s="1071"/>
      <c r="D314" s="1073"/>
      <c r="E314" s="1065"/>
      <c r="F314" s="1071"/>
    </row>
    <row r="315" spans="1:6" s="1067" customFormat="1">
      <c r="A315" s="1072"/>
      <c r="B315" s="1071"/>
      <c r="D315" s="1073"/>
      <c r="E315" s="1065"/>
      <c r="F315" s="1071"/>
    </row>
    <row r="316" spans="1:6" s="1067" customFormat="1">
      <c r="A316" s="1072"/>
      <c r="B316" s="1071"/>
      <c r="D316" s="1073"/>
      <c r="E316" s="1065"/>
      <c r="F316" s="1071"/>
    </row>
    <row r="317" spans="1:6" s="1067" customFormat="1">
      <c r="A317" s="1072"/>
      <c r="B317" s="1071"/>
      <c r="D317" s="1073"/>
      <c r="E317" s="1065"/>
      <c r="F317" s="1071"/>
    </row>
    <row r="318" spans="1:6" s="1067" customFormat="1">
      <c r="A318" s="1072"/>
      <c r="B318" s="1071"/>
      <c r="D318" s="1073"/>
      <c r="E318" s="1065"/>
      <c r="F318" s="1071"/>
    </row>
    <row r="319" spans="1:6" s="1067" customFormat="1">
      <c r="A319" s="1072"/>
      <c r="B319" s="1071"/>
      <c r="D319" s="1073"/>
      <c r="E319" s="1065"/>
      <c r="F319" s="1071"/>
    </row>
    <row r="320" spans="1:6" s="1067" customFormat="1">
      <c r="A320" s="1072"/>
      <c r="B320" s="1071"/>
      <c r="D320" s="1073"/>
      <c r="E320" s="1065"/>
      <c r="F320" s="1071"/>
    </row>
    <row r="321" spans="1:6" s="1067" customFormat="1">
      <c r="A321" s="1072"/>
      <c r="B321" s="1071"/>
      <c r="D321" s="1073"/>
      <c r="E321" s="1065"/>
      <c r="F321" s="1071"/>
    </row>
    <row r="322" spans="1:6" s="1067" customFormat="1">
      <c r="A322" s="1072"/>
      <c r="B322" s="1071"/>
      <c r="D322" s="1073"/>
      <c r="E322" s="1065"/>
      <c r="F322" s="1071"/>
    </row>
    <row r="323" spans="1:6" s="1067" customFormat="1">
      <c r="A323" s="1072"/>
      <c r="B323" s="1071"/>
      <c r="D323" s="1073"/>
      <c r="E323" s="1065"/>
      <c r="F323" s="1071"/>
    </row>
    <row r="324" spans="1:6" s="1067" customFormat="1">
      <c r="A324" s="1072"/>
      <c r="B324" s="1071"/>
      <c r="D324" s="1073"/>
      <c r="E324" s="1065"/>
      <c r="F324" s="1071"/>
    </row>
    <row r="325" spans="1:6" s="1067" customFormat="1">
      <c r="A325" s="1072"/>
      <c r="B325" s="1071"/>
      <c r="D325" s="1073"/>
      <c r="E325" s="1065"/>
      <c r="F325" s="1071"/>
    </row>
    <row r="326" spans="1:6" s="1067" customFormat="1">
      <c r="A326" s="1072"/>
      <c r="B326" s="1071"/>
      <c r="D326" s="1073"/>
      <c r="E326" s="1065"/>
      <c r="F326" s="1071"/>
    </row>
    <row r="327" spans="1:6" s="1067" customFormat="1">
      <c r="A327" s="1072"/>
      <c r="B327" s="1071"/>
      <c r="D327" s="1073"/>
      <c r="E327" s="1065"/>
      <c r="F327" s="1071"/>
    </row>
    <row r="328" spans="1:6" s="1067" customFormat="1">
      <c r="A328" s="1072"/>
      <c r="B328" s="1071"/>
      <c r="D328" s="1073"/>
      <c r="E328" s="1065"/>
      <c r="F328" s="1071"/>
    </row>
    <row r="329" spans="1:6" s="1067" customFormat="1">
      <c r="A329" s="1072"/>
      <c r="B329" s="1071"/>
      <c r="D329" s="1073"/>
      <c r="E329" s="1065"/>
      <c r="F329" s="1071"/>
    </row>
    <row r="330" spans="1:6" s="1067" customFormat="1">
      <c r="A330" s="1072"/>
      <c r="B330" s="1071"/>
      <c r="D330" s="1073"/>
      <c r="E330" s="1065"/>
      <c r="F330" s="1071"/>
    </row>
    <row r="331" spans="1:6" s="1067" customFormat="1">
      <c r="A331" s="1072"/>
      <c r="B331" s="1071"/>
      <c r="D331" s="1073"/>
      <c r="E331" s="1065"/>
      <c r="F331" s="1071"/>
    </row>
    <row r="332" spans="1:6" s="1067" customFormat="1">
      <c r="A332" s="1072"/>
      <c r="B332" s="1071"/>
      <c r="D332" s="1073"/>
      <c r="E332" s="1065"/>
      <c r="F332" s="1071"/>
    </row>
    <row r="333" spans="1:6" s="1067" customFormat="1">
      <c r="A333" s="1072"/>
      <c r="B333" s="1071"/>
      <c r="D333" s="1073"/>
      <c r="E333" s="1065"/>
      <c r="F333" s="1071"/>
    </row>
    <row r="334" spans="1:6" s="1067" customFormat="1">
      <c r="A334" s="1072"/>
      <c r="B334" s="1071"/>
      <c r="D334" s="1073"/>
      <c r="E334" s="1065"/>
      <c r="F334" s="1071"/>
    </row>
    <row r="335" spans="1:6" s="1067" customFormat="1">
      <c r="A335" s="1072"/>
      <c r="B335" s="1071"/>
      <c r="D335" s="1073"/>
      <c r="E335" s="1065"/>
      <c r="F335" s="1071"/>
    </row>
    <row r="336" spans="1:6" s="1067" customFormat="1">
      <c r="A336" s="1072"/>
      <c r="B336" s="1071"/>
      <c r="D336" s="1073"/>
      <c r="E336" s="1065"/>
      <c r="F336" s="1071"/>
    </row>
    <row r="337" spans="1:6" s="1067" customFormat="1">
      <c r="A337" s="1072"/>
      <c r="B337" s="1071"/>
      <c r="D337" s="1073"/>
      <c r="E337" s="1065"/>
      <c r="F337" s="1071"/>
    </row>
    <row r="338" spans="1:6" s="1067" customFormat="1">
      <c r="A338" s="1072"/>
      <c r="B338" s="1071"/>
      <c r="D338" s="1073"/>
      <c r="E338" s="1065"/>
      <c r="F338" s="1071"/>
    </row>
    <row r="339" spans="1:6" s="1067" customFormat="1">
      <c r="A339" s="1072"/>
      <c r="B339" s="1071"/>
      <c r="D339" s="1073"/>
      <c r="E339" s="1065"/>
      <c r="F339" s="1071"/>
    </row>
    <row r="340" spans="1:6" s="1067" customFormat="1">
      <c r="A340" s="1072"/>
      <c r="B340" s="1071"/>
      <c r="D340" s="1073"/>
      <c r="E340" s="1065"/>
      <c r="F340" s="1071"/>
    </row>
    <row r="341" spans="1:6" s="1067" customFormat="1">
      <c r="A341" s="1072"/>
      <c r="B341" s="1071"/>
      <c r="D341" s="1073"/>
      <c r="E341" s="1065"/>
      <c r="F341" s="1071"/>
    </row>
    <row r="342" spans="1:6" s="1067" customFormat="1">
      <c r="A342" s="1072"/>
      <c r="B342" s="1071"/>
      <c r="D342" s="1073"/>
      <c r="E342" s="1065"/>
      <c r="F342" s="1071"/>
    </row>
    <row r="343" spans="1:6" s="1067" customFormat="1">
      <c r="A343" s="1072"/>
      <c r="B343" s="1071"/>
      <c r="D343" s="1073"/>
      <c r="E343" s="1065"/>
      <c r="F343" s="1071"/>
    </row>
    <row r="344" spans="1:6" s="1067" customFormat="1">
      <c r="A344" s="1072"/>
      <c r="B344" s="1071"/>
      <c r="D344" s="1073"/>
      <c r="E344" s="1065"/>
      <c r="F344" s="1071"/>
    </row>
    <row r="345" spans="1:6" s="1067" customFormat="1">
      <c r="A345" s="1072"/>
      <c r="B345" s="1071"/>
      <c r="D345" s="1073"/>
      <c r="E345" s="1065"/>
      <c r="F345" s="1071"/>
    </row>
    <row r="346" spans="1:6" s="1067" customFormat="1">
      <c r="A346" s="1072"/>
      <c r="B346" s="1071"/>
      <c r="D346" s="1073"/>
      <c r="E346" s="1065"/>
      <c r="F346" s="1071"/>
    </row>
    <row r="347" spans="1:6" s="1067" customFormat="1">
      <c r="A347" s="1072"/>
      <c r="B347" s="1071"/>
      <c r="D347" s="1073"/>
      <c r="E347" s="1065"/>
      <c r="F347" s="1071"/>
    </row>
    <row r="348" spans="1:6" s="1067" customFormat="1">
      <c r="A348" s="1072"/>
      <c r="B348" s="1071"/>
      <c r="D348" s="1073"/>
      <c r="E348" s="1065"/>
      <c r="F348" s="1071"/>
    </row>
    <row r="349" spans="1:6" s="1067" customFormat="1">
      <c r="A349" s="1072"/>
      <c r="B349" s="1071"/>
      <c r="D349" s="1073"/>
      <c r="E349" s="1065"/>
      <c r="F349" s="1071"/>
    </row>
    <row r="350" spans="1:6" s="1067" customFormat="1">
      <c r="A350" s="1072"/>
      <c r="B350" s="1071"/>
      <c r="D350" s="1073"/>
      <c r="E350" s="1065"/>
      <c r="F350" s="1071"/>
    </row>
    <row r="351" spans="1:6" s="1067" customFormat="1">
      <c r="A351" s="1072"/>
      <c r="B351" s="1071"/>
      <c r="D351" s="1073"/>
      <c r="E351" s="1065"/>
      <c r="F351" s="1071"/>
    </row>
    <row r="352" spans="1:6" s="1067" customFormat="1">
      <c r="A352" s="1072"/>
      <c r="B352" s="1071"/>
      <c r="D352" s="1073"/>
      <c r="E352" s="1065"/>
      <c r="F352" s="1071"/>
    </row>
    <row r="353" spans="1:6" s="1067" customFormat="1">
      <c r="A353" s="1072"/>
      <c r="B353" s="1071"/>
      <c r="D353" s="1073"/>
      <c r="E353" s="1065"/>
      <c r="F353" s="1071"/>
    </row>
    <row r="354" spans="1:6" s="1067" customFormat="1">
      <c r="A354" s="1072"/>
      <c r="B354" s="1071"/>
      <c r="D354" s="1073"/>
      <c r="E354" s="1065"/>
      <c r="F354" s="1071"/>
    </row>
    <row r="355" spans="1:6" s="1067" customFormat="1">
      <c r="A355" s="1072"/>
      <c r="B355" s="1071"/>
      <c r="D355" s="1073"/>
      <c r="E355" s="1065"/>
      <c r="F355" s="1071"/>
    </row>
    <row r="356" spans="1:6" s="1067" customFormat="1">
      <c r="A356" s="1072"/>
      <c r="B356" s="1071"/>
      <c r="D356" s="1073"/>
      <c r="E356" s="1065"/>
      <c r="F356" s="1071"/>
    </row>
    <row r="357" spans="1:6" s="1067" customFormat="1">
      <c r="A357" s="1072"/>
      <c r="B357" s="1071"/>
      <c r="D357" s="1073"/>
      <c r="E357" s="1065"/>
      <c r="F357" s="1071"/>
    </row>
    <row r="358" spans="1:6" s="1067" customFormat="1">
      <c r="A358" s="1072"/>
      <c r="B358" s="1071"/>
      <c r="D358" s="1073"/>
      <c r="E358" s="1065"/>
      <c r="F358" s="1071"/>
    </row>
    <row r="359" spans="1:6" s="1067" customFormat="1">
      <c r="A359" s="1072"/>
      <c r="B359" s="1071"/>
      <c r="D359" s="1073"/>
      <c r="E359" s="1065"/>
      <c r="F359" s="1071"/>
    </row>
    <row r="360" spans="1:6" s="1067" customFormat="1">
      <c r="A360" s="1072"/>
      <c r="B360" s="1071"/>
      <c r="D360" s="1073"/>
      <c r="E360" s="1065"/>
      <c r="F360" s="1071"/>
    </row>
    <row r="361" spans="1:6" s="1067" customFormat="1">
      <c r="A361" s="1072"/>
      <c r="B361" s="1071"/>
      <c r="D361" s="1073"/>
      <c r="E361" s="1065"/>
      <c r="F361" s="1071"/>
    </row>
    <row r="362" spans="1:6" s="1067" customFormat="1">
      <c r="A362" s="1072"/>
      <c r="B362" s="1071"/>
      <c r="D362" s="1073"/>
      <c r="E362" s="1065"/>
      <c r="F362" s="1071"/>
    </row>
    <row r="363" spans="1:6" s="1067" customFormat="1">
      <c r="A363" s="1072"/>
      <c r="B363" s="1071"/>
      <c r="D363" s="1073"/>
      <c r="E363" s="1065"/>
      <c r="F363" s="1071"/>
    </row>
    <row r="364" spans="1:6" s="1067" customFormat="1">
      <c r="A364" s="1072"/>
      <c r="B364" s="1071"/>
      <c r="D364" s="1073"/>
      <c r="E364" s="1065"/>
      <c r="F364" s="1071"/>
    </row>
    <row r="365" spans="1:6" s="1067" customFormat="1">
      <c r="A365" s="1072"/>
      <c r="B365" s="1071"/>
      <c r="D365" s="1073"/>
      <c r="E365" s="1065"/>
      <c r="F365" s="1071"/>
    </row>
    <row r="366" spans="1:6" s="1067" customFormat="1">
      <c r="A366" s="1072"/>
      <c r="B366" s="1071"/>
      <c r="D366" s="1073"/>
      <c r="E366" s="1065"/>
      <c r="F366" s="1071"/>
    </row>
    <row r="367" spans="1:6" s="1067" customFormat="1">
      <c r="A367" s="1072"/>
      <c r="B367" s="1071"/>
      <c r="D367" s="1073"/>
      <c r="E367" s="1065"/>
      <c r="F367" s="1071"/>
    </row>
    <row r="368" spans="1:6" s="1067" customFormat="1">
      <c r="A368" s="1072"/>
      <c r="B368" s="1071"/>
      <c r="D368" s="1073"/>
      <c r="E368" s="1065"/>
      <c r="F368" s="1071"/>
    </row>
    <row r="369" spans="1:6" s="1067" customFormat="1">
      <c r="A369" s="1072"/>
      <c r="B369" s="1071"/>
      <c r="D369" s="1073"/>
      <c r="E369" s="1065"/>
      <c r="F369" s="1071"/>
    </row>
    <row r="370" spans="1:6" s="1067" customFormat="1">
      <c r="A370" s="1072"/>
      <c r="B370" s="1071"/>
      <c r="D370" s="1073"/>
      <c r="E370" s="1065"/>
      <c r="F370" s="1071"/>
    </row>
    <row r="371" spans="1:6" s="1067" customFormat="1">
      <c r="A371" s="1072"/>
      <c r="B371" s="1071"/>
      <c r="D371" s="1073"/>
      <c r="E371" s="1065"/>
      <c r="F371" s="1071"/>
    </row>
    <row r="372" spans="1:6" s="1067" customFormat="1">
      <c r="A372" s="1072"/>
      <c r="B372" s="1071"/>
      <c r="D372" s="1073"/>
      <c r="E372" s="1065"/>
      <c r="F372" s="1071"/>
    </row>
    <row r="373" spans="1:6" s="1067" customFormat="1">
      <c r="A373" s="1072"/>
      <c r="B373" s="1071"/>
      <c r="D373" s="1073"/>
      <c r="E373" s="1065"/>
      <c r="F373" s="1071"/>
    </row>
    <row r="374" spans="1:6" s="1067" customFormat="1">
      <c r="A374" s="1072"/>
      <c r="B374" s="1071"/>
      <c r="D374" s="1073"/>
      <c r="E374" s="1065"/>
      <c r="F374" s="1071"/>
    </row>
    <row r="375" spans="1:6" s="1067" customFormat="1">
      <c r="A375" s="1072"/>
      <c r="B375" s="1071"/>
      <c r="D375" s="1073"/>
      <c r="E375" s="1065"/>
      <c r="F375" s="1071"/>
    </row>
    <row r="376" spans="1:6" s="1067" customFormat="1">
      <c r="A376" s="1072"/>
      <c r="B376" s="1071"/>
      <c r="D376" s="1073"/>
      <c r="E376" s="1065"/>
      <c r="F376" s="1071"/>
    </row>
    <row r="377" spans="1:6" s="1067" customFormat="1">
      <c r="A377" s="1072"/>
      <c r="B377" s="1071"/>
      <c r="D377" s="1073"/>
      <c r="E377" s="1065"/>
      <c r="F377" s="1071"/>
    </row>
    <row r="378" spans="1:6" s="1067" customFormat="1">
      <c r="A378" s="1072"/>
      <c r="B378" s="1071"/>
      <c r="D378" s="1073"/>
      <c r="E378" s="1065"/>
      <c r="F378" s="1071"/>
    </row>
    <row r="379" spans="1:6" s="1067" customFormat="1">
      <c r="A379" s="1072"/>
      <c r="B379" s="1071"/>
      <c r="D379" s="1073"/>
      <c r="E379" s="1065"/>
      <c r="F379" s="1071"/>
    </row>
    <row r="380" spans="1:6" s="1067" customFormat="1">
      <c r="A380" s="1072"/>
      <c r="B380" s="1071"/>
      <c r="D380" s="1073"/>
      <c r="E380" s="1065"/>
      <c r="F380" s="1071"/>
    </row>
    <row r="381" spans="1:6" s="1067" customFormat="1">
      <c r="A381" s="1072"/>
      <c r="B381" s="1071"/>
      <c r="D381" s="1073"/>
      <c r="E381" s="1065"/>
      <c r="F381" s="1071"/>
    </row>
    <row r="382" spans="1:6" s="1067" customFormat="1">
      <c r="A382" s="1072"/>
      <c r="B382" s="1071"/>
      <c r="D382" s="1073"/>
      <c r="E382" s="1065"/>
      <c r="F382" s="1071"/>
    </row>
    <row r="383" spans="1:6" s="1067" customFormat="1">
      <c r="A383" s="1072"/>
      <c r="B383" s="1071"/>
      <c r="D383" s="1073"/>
      <c r="E383" s="1065"/>
      <c r="F383" s="1071"/>
    </row>
    <row r="384" spans="1:6" s="1067" customFormat="1">
      <c r="A384" s="1072"/>
      <c r="B384" s="1071"/>
      <c r="D384" s="1073"/>
      <c r="E384" s="1065"/>
      <c r="F384" s="1071"/>
    </row>
    <row r="385" spans="1:6" s="1067" customFormat="1">
      <c r="A385" s="1072"/>
      <c r="B385" s="1071"/>
      <c r="D385" s="1073"/>
      <c r="E385" s="1065"/>
      <c r="F385" s="1071"/>
    </row>
    <row r="386" spans="1:6" s="1067" customFormat="1">
      <c r="A386" s="1072"/>
      <c r="B386" s="1071"/>
      <c r="D386" s="1073"/>
      <c r="E386" s="1065"/>
      <c r="F386" s="1071"/>
    </row>
    <row r="387" spans="1:6" s="1067" customFormat="1">
      <c r="A387" s="1072"/>
      <c r="B387" s="1071"/>
      <c r="D387" s="1073"/>
      <c r="E387" s="1065"/>
      <c r="F387" s="1071"/>
    </row>
    <row r="388" spans="1:6" s="1067" customFormat="1">
      <c r="A388" s="1072"/>
      <c r="B388" s="1071"/>
      <c r="D388" s="1073"/>
      <c r="E388" s="1065"/>
      <c r="F388" s="1071"/>
    </row>
    <row r="389" spans="1:6" s="1067" customFormat="1">
      <c r="A389" s="1072"/>
      <c r="B389" s="1071"/>
      <c r="D389" s="1073"/>
      <c r="E389" s="1065"/>
      <c r="F389" s="1071"/>
    </row>
    <row r="390" spans="1:6" s="1067" customFormat="1">
      <c r="A390" s="1072"/>
      <c r="B390" s="1071"/>
      <c r="D390" s="1073"/>
      <c r="E390" s="1065"/>
      <c r="F390" s="1071"/>
    </row>
    <row r="391" spans="1:6" s="1067" customFormat="1">
      <c r="A391" s="1072"/>
      <c r="B391" s="1071"/>
      <c r="D391" s="1073"/>
      <c r="E391" s="1065"/>
      <c r="F391" s="1071"/>
    </row>
    <row r="392" spans="1:6" s="1067" customFormat="1">
      <c r="A392" s="1072"/>
      <c r="B392" s="1071"/>
      <c r="D392" s="1073"/>
      <c r="E392" s="1065"/>
      <c r="F392" s="1071"/>
    </row>
    <row r="393" spans="1:6" s="1067" customFormat="1">
      <c r="A393" s="1072"/>
      <c r="B393" s="1071"/>
      <c r="D393" s="1073"/>
      <c r="E393" s="1065"/>
      <c r="F393" s="1071"/>
    </row>
    <row r="394" spans="1:6" s="1067" customFormat="1">
      <c r="A394" s="1072"/>
      <c r="B394" s="1071"/>
      <c r="D394" s="1073"/>
      <c r="E394" s="1065"/>
      <c r="F394" s="1071"/>
    </row>
    <row r="395" spans="1:6" s="1067" customFormat="1">
      <c r="A395" s="1072"/>
      <c r="B395" s="1071"/>
      <c r="D395" s="1073"/>
      <c r="E395" s="1065"/>
      <c r="F395" s="1071"/>
    </row>
    <row r="396" spans="1:6" s="1067" customFormat="1">
      <c r="A396" s="1072"/>
      <c r="B396" s="1071"/>
      <c r="D396" s="1073"/>
      <c r="E396" s="1065"/>
      <c r="F396" s="1071"/>
    </row>
    <row r="397" spans="1:6" s="1067" customFormat="1">
      <c r="A397" s="1072"/>
      <c r="B397" s="1071"/>
      <c r="D397" s="1073"/>
      <c r="E397" s="1065"/>
      <c r="F397" s="1071"/>
    </row>
    <row r="398" spans="1:6" s="1067" customFormat="1">
      <c r="A398" s="1072"/>
      <c r="B398" s="1071"/>
      <c r="D398" s="1073"/>
      <c r="E398" s="1065"/>
      <c r="F398" s="1071"/>
    </row>
    <row r="399" spans="1:6" s="1067" customFormat="1">
      <c r="A399" s="1072"/>
      <c r="B399" s="1071"/>
      <c r="D399" s="1073"/>
      <c r="E399" s="1065"/>
      <c r="F399" s="1071"/>
    </row>
    <row r="400" spans="1:6" s="1067" customFormat="1">
      <c r="A400" s="1072"/>
      <c r="B400" s="1071"/>
      <c r="D400" s="1073"/>
      <c r="E400" s="1065"/>
      <c r="F400" s="1071"/>
    </row>
    <row r="401" spans="1:6" s="1067" customFormat="1">
      <c r="A401" s="1072"/>
      <c r="B401" s="1071"/>
      <c r="D401" s="1073"/>
      <c r="E401" s="1065"/>
      <c r="F401" s="1071"/>
    </row>
    <row r="402" spans="1:6" s="1067" customFormat="1">
      <c r="A402" s="1072"/>
      <c r="B402" s="1071"/>
      <c r="D402" s="1073"/>
      <c r="E402" s="1065"/>
      <c r="F402" s="1071"/>
    </row>
    <row r="403" spans="1:6" s="1067" customFormat="1">
      <c r="A403" s="1072"/>
      <c r="B403" s="1071"/>
      <c r="D403" s="1073"/>
      <c r="E403" s="1065"/>
      <c r="F403" s="1071"/>
    </row>
    <row r="404" spans="1:6" s="1067" customFormat="1">
      <c r="A404" s="1072"/>
      <c r="B404" s="1071"/>
      <c r="D404" s="1073"/>
      <c r="E404" s="1065"/>
      <c r="F404" s="1071"/>
    </row>
    <row r="405" spans="1:6" s="1067" customFormat="1">
      <c r="A405" s="1072"/>
      <c r="B405" s="1071"/>
      <c r="D405" s="1073"/>
      <c r="E405" s="1065"/>
      <c r="F405" s="1071"/>
    </row>
    <row r="406" spans="1:6" s="1067" customFormat="1">
      <c r="A406" s="1072"/>
      <c r="B406" s="1071"/>
      <c r="D406" s="1073"/>
      <c r="E406" s="1065"/>
      <c r="F406" s="1071"/>
    </row>
    <row r="407" spans="1:6" s="1067" customFormat="1">
      <c r="A407" s="1072"/>
      <c r="B407" s="1071"/>
      <c r="D407" s="1073"/>
      <c r="E407" s="1065"/>
      <c r="F407" s="1071"/>
    </row>
    <row r="408" spans="1:6" s="1067" customFormat="1">
      <c r="A408" s="1072"/>
      <c r="B408" s="1071"/>
      <c r="D408" s="1073"/>
      <c r="E408" s="1065"/>
      <c r="F408" s="1071"/>
    </row>
    <row r="409" spans="1:6" s="1067" customFormat="1">
      <c r="A409" s="1072"/>
      <c r="B409" s="1071"/>
      <c r="D409" s="1073"/>
      <c r="E409" s="1065"/>
      <c r="F409" s="1071"/>
    </row>
    <row r="410" spans="1:6" s="1067" customFormat="1">
      <c r="A410" s="1072"/>
      <c r="B410" s="1071"/>
      <c r="D410" s="1073"/>
      <c r="E410" s="1065"/>
      <c r="F410" s="1071"/>
    </row>
    <row r="411" spans="1:6" s="1067" customFormat="1">
      <c r="A411" s="1072"/>
      <c r="B411" s="1071"/>
      <c r="D411" s="1073"/>
      <c r="E411" s="1065"/>
      <c r="F411" s="1071"/>
    </row>
    <row r="412" spans="1:6" s="1067" customFormat="1">
      <c r="A412" s="1072"/>
      <c r="B412" s="1071"/>
      <c r="D412" s="1073"/>
      <c r="E412" s="1065"/>
      <c r="F412" s="1071"/>
    </row>
    <row r="413" spans="1:6" s="1067" customFormat="1">
      <c r="A413" s="1072"/>
      <c r="B413" s="1071"/>
      <c r="D413" s="1073"/>
      <c r="E413" s="1065"/>
      <c r="F413" s="1071"/>
    </row>
    <row r="414" spans="1:6" s="1067" customFormat="1">
      <c r="A414" s="1072"/>
      <c r="B414" s="1071"/>
      <c r="D414" s="1073"/>
      <c r="E414" s="1065"/>
      <c r="F414" s="1071"/>
    </row>
    <row r="415" spans="1:6" s="1067" customFormat="1">
      <c r="A415" s="1072"/>
      <c r="B415" s="1071"/>
      <c r="D415" s="1073"/>
      <c r="E415" s="1065"/>
      <c r="F415" s="1071"/>
    </row>
  </sheetData>
  <mergeCells count="13">
    <mergeCell ref="D62:E62"/>
    <mergeCell ref="A1:F1"/>
    <mergeCell ref="A2:F2"/>
    <mergeCell ref="A4:F4"/>
    <mergeCell ref="A5:B5"/>
    <mergeCell ref="C5:F5"/>
    <mergeCell ref="D67:E67"/>
    <mergeCell ref="D68:E68"/>
    <mergeCell ref="D73:E73"/>
    <mergeCell ref="D63:E63"/>
    <mergeCell ref="D64:E64"/>
    <mergeCell ref="D65:E65"/>
    <mergeCell ref="D66:E66"/>
  </mergeCells>
  <pageMargins left="0.70866141732283505" right="0.28999999999999998" top="0.27" bottom="0.27" header="0.23" footer="0.16"/>
  <pageSetup paperSize="9" scale="9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480"/>
  <sheetViews>
    <sheetView view="pageBreakPreview" topLeftCell="A38" zoomScale="96" zoomScaleSheetLayoutView="96" workbookViewId="0">
      <selection activeCell="G234" sqref="G234"/>
    </sheetView>
  </sheetViews>
  <sheetFormatPr defaultRowHeight="12.75"/>
  <cols>
    <col min="1" max="1" width="4.77734375" style="945" customWidth="1"/>
    <col min="2" max="2" width="26.77734375" style="945" customWidth="1"/>
    <col min="3" max="3" width="2.77734375" style="945" customWidth="1"/>
    <col min="4" max="4" width="2.21875" style="945" customWidth="1"/>
    <col min="5" max="5" width="5.21875" style="945" customWidth="1"/>
    <col min="6" max="6" width="8" style="945" customWidth="1"/>
    <col min="7" max="7" width="8" style="945" bestFit="1" customWidth="1"/>
    <col min="8" max="8" width="7.6640625" style="945" bestFit="1" customWidth="1"/>
    <col min="9" max="9" width="16.33203125" style="945" customWidth="1"/>
    <col min="10" max="10" width="9" style="945" bestFit="1" customWidth="1"/>
    <col min="11" max="256" width="8.88671875" style="945"/>
    <col min="257" max="257" width="4.77734375" style="945" customWidth="1"/>
    <col min="258" max="258" width="26.77734375" style="945" customWidth="1"/>
    <col min="259" max="259" width="2.77734375" style="945" customWidth="1"/>
    <col min="260" max="260" width="2.21875" style="945" customWidth="1"/>
    <col min="261" max="261" width="5.21875" style="945" customWidth="1"/>
    <col min="262" max="262" width="6.21875" style="945" customWidth="1"/>
    <col min="263" max="263" width="8" style="945" bestFit="1" customWidth="1"/>
    <col min="264" max="264" width="7.6640625" style="945" bestFit="1" customWidth="1"/>
    <col min="265" max="265" width="11.6640625" style="945" customWidth="1"/>
    <col min="266" max="266" width="9" style="945" bestFit="1" customWidth="1"/>
    <col min="267" max="512" width="8.88671875" style="945"/>
    <col min="513" max="513" width="4.77734375" style="945" customWidth="1"/>
    <col min="514" max="514" width="26.77734375" style="945" customWidth="1"/>
    <col min="515" max="515" width="2.77734375" style="945" customWidth="1"/>
    <col min="516" max="516" width="2.21875" style="945" customWidth="1"/>
    <col min="517" max="517" width="5.21875" style="945" customWidth="1"/>
    <col min="518" max="518" width="6.21875" style="945" customWidth="1"/>
    <col min="519" max="519" width="8" style="945" bestFit="1" customWidth="1"/>
    <col min="520" max="520" width="7.6640625" style="945" bestFit="1" customWidth="1"/>
    <col min="521" max="521" width="11.6640625" style="945" customWidth="1"/>
    <col min="522" max="522" width="9" style="945" bestFit="1" customWidth="1"/>
    <col min="523" max="768" width="8.88671875" style="945"/>
    <col min="769" max="769" width="4.77734375" style="945" customWidth="1"/>
    <col min="770" max="770" width="26.77734375" style="945" customWidth="1"/>
    <col min="771" max="771" width="2.77734375" style="945" customWidth="1"/>
    <col min="772" max="772" width="2.21875" style="945" customWidth="1"/>
    <col min="773" max="773" width="5.21875" style="945" customWidth="1"/>
    <col min="774" max="774" width="6.21875" style="945" customWidth="1"/>
    <col min="775" max="775" width="8" style="945" bestFit="1" customWidth="1"/>
    <col min="776" max="776" width="7.6640625" style="945" bestFit="1" customWidth="1"/>
    <col min="777" max="777" width="11.6640625" style="945" customWidth="1"/>
    <col min="778" max="778" width="9" style="945" bestFit="1" customWidth="1"/>
    <col min="779" max="1024" width="8.88671875" style="945"/>
    <col min="1025" max="1025" width="4.77734375" style="945" customWidth="1"/>
    <col min="1026" max="1026" width="26.77734375" style="945" customWidth="1"/>
    <col min="1027" max="1027" width="2.77734375" style="945" customWidth="1"/>
    <col min="1028" max="1028" width="2.21875" style="945" customWidth="1"/>
    <col min="1029" max="1029" width="5.21875" style="945" customWidth="1"/>
    <col min="1030" max="1030" width="6.21875" style="945" customWidth="1"/>
    <col min="1031" max="1031" width="8" style="945" bestFit="1" customWidth="1"/>
    <col min="1032" max="1032" width="7.6640625" style="945" bestFit="1" customWidth="1"/>
    <col min="1033" max="1033" width="11.6640625" style="945" customWidth="1"/>
    <col min="1034" max="1034" width="9" style="945" bestFit="1" customWidth="1"/>
    <col min="1035" max="1280" width="8.88671875" style="945"/>
    <col min="1281" max="1281" width="4.77734375" style="945" customWidth="1"/>
    <col min="1282" max="1282" width="26.77734375" style="945" customWidth="1"/>
    <col min="1283" max="1283" width="2.77734375" style="945" customWidth="1"/>
    <col min="1284" max="1284" width="2.21875" style="945" customWidth="1"/>
    <col min="1285" max="1285" width="5.21875" style="945" customWidth="1"/>
    <col min="1286" max="1286" width="6.21875" style="945" customWidth="1"/>
    <col min="1287" max="1287" width="8" style="945" bestFit="1" customWidth="1"/>
    <col min="1288" max="1288" width="7.6640625" style="945" bestFit="1" customWidth="1"/>
    <col min="1289" max="1289" width="11.6640625" style="945" customWidth="1"/>
    <col min="1290" max="1290" width="9" style="945" bestFit="1" customWidth="1"/>
    <col min="1291" max="1536" width="8.88671875" style="945"/>
    <col min="1537" max="1537" width="4.77734375" style="945" customWidth="1"/>
    <col min="1538" max="1538" width="26.77734375" style="945" customWidth="1"/>
    <col min="1539" max="1539" width="2.77734375" style="945" customWidth="1"/>
    <col min="1540" max="1540" width="2.21875" style="945" customWidth="1"/>
    <col min="1541" max="1541" width="5.21875" style="945" customWidth="1"/>
    <col min="1542" max="1542" width="6.21875" style="945" customWidth="1"/>
    <col min="1543" max="1543" width="8" style="945" bestFit="1" customWidth="1"/>
    <col min="1544" max="1544" width="7.6640625" style="945" bestFit="1" customWidth="1"/>
    <col min="1545" max="1545" width="11.6640625" style="945" customWidth="1"/>
    <col min="1546" max="1546" width="9" style="945" bestFit="1" customWidth="1"/>
    <col min="1547" max="1792" width="8.88671875" style="945"/>
    <col min="1793" max="1793" width="4.77734375" style="945" customWidth="1"/>
    <col min="1794" max="1794" width="26.77734375" style="945" customWidth="1"/>
    <col min="1795" max="1795" width="2.77734375" style="945" customWidth="1"/>
    <col min="1796" max="1796" width="2.21875" style="945" customWidth="1"/>
    <col min="1797" max="1797" width="5.21875" style="945" customWidth="1"/>
    <col min="1798" max="1798" width="6.21875" style="945" customWidth="1"/>
    <col min="1799" max="1799" width="8" style="945" bestFit="1" customWidth="1"/>
    <col min="1800" max="1800" width="7.6640625" style="945" bestFit="1" customWidth="1"/>
    <col min="1801" max="1801" width="11.6640625" style="945" customWidth="1"/>
    <col min="1802" max="1802" width="9" style="945" bestFit="1" customWidth="1"/>
    <col min="1803" max="2048" width="8.88671875" style="945"/>
    <col min="2049" max="2049" width="4.77734375" style="945" customWidth="1"/>
    <col min="2050" max="2050" width="26.77734375" style="945" customWidth="1"/>
    <col min="2051" max="2051" width="2.77734375" style="945" customWidth="1"/>
    <col min="2052" max="2052" width="2.21875" style="945" customWidth="1"/>
    <col min="2053" max="2053" width="5.21875" style="945" customWidth="1"/>
    <col min="2054" max="2054" width="6.21875" style="945" customWidth="1"/>
    <col min="2055" max="2055" width="8" style="945" bestFit="1" customWidth="1"/>
    <col min="2056" max="2056" width="7.6640625" style="945" bestFit="1" customWidth="1"/>
    <col min="2057" max="2057" width="11.6640625" style="945" customWidth="1"/>
    <col min="2058" max="2058" width="9" style="945" bestFit="1" customWidth="1"/>
    <col min="2059" max="2304" width="8.88671875" style="945"/>
    <col min="2305" max="2305" width="4.77734375" style="945" customWidth="1"/>
    <col min="2306" max="2306" width="26.77734375" style="945" customWidth="1"/>
    <col min="2307" max="2307" width="2.77734375" style="945" customWidth="1"/>
    <col min="2308" max="2308" width="2.21875" style="945" customWidth="1"/>
    <col min="2309" max="2309" width="5.21875" style="945" customWidth="1"/>
    <col min="2310" max="2310" width="6.21875" style="945" customWidth="1"/>
    <col min="2311" max="2311" width="8" style="945" bestFit="1" customWidth="1"/>
    <col min="2312" max="2312" width="7.6640625" style="945" bestFit="1" customWidth="1"/>
    <col min="2313" max="2313" width="11.6640625" style="945" customWidth="1"/>
    <col min="2314" max="2314" width="9" style="945" bestFit="1" customWidth="1"/>
    <col min="2315" max="2560" width="8.88671875" style="945"/>
    <col min="2561" max="2561" width="4.77734375" style="945" customWidth="1"/>
    <col min="2562" max="2562" width="26.77734375" style="945" customWidth="1"/>
    <col min="2563" max="2563" width="2.77734375" style="945" customWidth="1"/>
    <col min="2564" max="2564" width="2.21875" style="945" customWidth="1"/>
    <col min="2565" max="2565" width="5.21875" style="945" customWidth="1"/>
    <col min="2566" max="2566" width="6.21875" style="945" customWidth="1"/>
    <col min="2567" max="2567" width="8" style="945" bestFit="1" customWidth="1"/>
    <col min="2568" max="2568" width="7.6640625" style="945" bestFit="1" customWidth="1"/>
    <col min="2569" max="2569" width="11.6640625" style="945" customWidth="1"/>
    <col min="2570" max="2570" width="9" style="945" bestFit="1" customWidth="1"/>
    <col min="2571" max="2816" width="8.88671875" style="945"/>
    <col min="2817" max="2817" width="4.77734375" style="945" customWidth="1"/>
    <col min="2818" max="2818" width="26.77734375" style="945" customWidth="1"/>
    <col min="2819" max="2819" width="2.77734375" style="945" customWidth="1"/>
    <col min="2820" max="2820" width="2.21875" style="945" customWidth="1"/>
    <col min="2821" max="2821" width="5.21875" style="945" customWidth="1"/>
    <col min="2822" max="2822" width="6.21875" style="945" customWidth="1"/>
    <col min="2823" max="2823" width="8" style="945" bestFit="1" customWidth="1"/>
    <col min="2824" max="2824" width="7.6640625" style="945" bestFit="1" customWidth="1"/>
    <col min="2825" max="2825" width="11.6640625" style="945" customWidth="1"/>
    <col min="2826" max="2826" width="9" style="945" bestFit="1" customWidth="1"/>
    <col min="2827" max="3072" width="8.88671875" style="945"/>
    <col min="3073" max="3073" width="4.77734375" style="945" customWidth="1"/>
    <col min="3074" max="3074" width="26.77734375" style="945" customWidth="1"/>
    <col min="3075" max="3075" width="2.77734375" style="945" customWidth="1"/>
    <col min="3076" max="3076" width="2.21875" style="945" customWidth="1"/>
    <col min="3077" max="3077" width="5.21875" style="945" customWidth="1"/>
    <col min="3078" max="3078" width="6.21875" style="945" customWidth="1"/>
    <col min="3079" max="3079" width="8" style="945" bestFit="1" customWidth="1"/>
    <col min="3080" max="3080" width="7.6640625" style="945" bestFit="1" customWidth="1"/>
    <col min="3081" max="3081" width="11.6640625" style="945" customWidth="1"/>
    <col min="3082" max="3082" width="9" style="945" bestFit="1" customWidth="1"/>
    <col min="3083" max="3328" width="8.88671875" style="945"/>
    <col min="3329" max="3329" width="4.77734375" style="945" customWidth="1"/>
    <col min="3330" max="3330" width="26.77734375" style="945" customWidth="1"/>
    <col min="3331" max="3331" width="2.77734375" style="945" customWidth="1"/>
    <col min="3332" max="3332" width="2.21875" style="945" customWidth="1"/>
    <col min="3333" max="3333" width="5.21875" style="945" customWidth="1"/>
    <col min="3334" max="3334" width="6.21875" style="945" customWidth="1"/>
    <col min="3335" max="3335" width="8" style="945" bestFit="1" customWidth="1"/>
    <col min="3336" max="3336" width="7.6640625" style="945" bestFit="1" customWidth="1"/>
    <col min="3337" max="3337" width="11.6640625" style="945" customWidth="1"/>
    <col min="3338" max="3338" width="9" style="945" bestFit="1" customWidth="1"/>
    <col min="3339" max="3584" width="8.88671875" style="945"/>
    <col min="3585" max="3585" width="4.77734375" style="945" customWidth="1"/>
    <col min="3586" max="3586" width="26.77734375" style="945" customWidth="1"/>
    <col min="3587" max="3587" width="2.77734375" style="945" customWidth="1"/>
    <col min="3588" max="3588" width="2.21875" style="945" customWidth="1"/>
    <col min="3589" max="3589" width="5.21875" style="945" customWidth="1"/>
    <col min="3590" max="3590" width="6.21875" style="945" customWidth="1"/>
    <col min="3591" max="3591" width="8" style="945" bestFit="1" customWidth="1"/>
    <col min="3592" max="3592" width="7.6640625" style="945" bestFit="1" customWidth="1"/>
    <col min="3593" max="3593" width="11.6640625" style="945" customWidth="1"/>
    <col min="3594" max="3594" width="9" style="945" bestFit="1" customWidth="1"/>
    <col min="3595" max="3840" width="8.88671875" style="945"/>
    <col min="3841" max="3841" width="4.77734375" style="945" customWidth="1"/>
    <col min="3842" max="3842" width="26.77734375" style="945" customWidth="1"/>
    <col min="3843" max="3843" width="2.77734375" style="945" customWidth="1"/>
    <col min="3844" max="3844" width="2.21875" style="945" customWidth="1"/>
    <col min="3845" max="3845" width="5.21875" style="945" customWidth="1"/>
    <col min="3846" max="3846" width="6.21875" style="945" customWidth="1"/>
    <col min="3847" max="3847" width="8" style="945" bestFit="1" customWidth="1"/>
    <col min="3848" max="3848" width="7.6640625" style="945" bestFit="1" customWidth="1"/>
    <col min="3849" max="3849" width="11.6640625" style="945" customWidth="1"/>
    <col min="3850" max="3850" width="9" style="945" bestFit="1" customWidth="1"/>
    <col min="3851" max="4096" width="8.88671875" style="945"/>
    <col min="4097" max="4097" width="4.77734375" style="945" customWidth="1"/>
    <col min="4098" max="4098" width="26.77734375" style="945" customWidth="1"/>
    <col min="4099" max="4099" width="2.77734375" style="945" customWidth="1"/>
    <col min="4100" max="4100" width="2.21875" style="945" customWidth="1"/>
    <col min="4101" max="4101" width="5.21875" style="945" customWidth="1"/>
    <col min="4102" max="4102" width="6.21875" style="945" customWidth="1"/>
    <col min="4103" max="4103" width="8" style="945" bestFit="1" customWidth="1"/>
    <col min="4104" max="4104" width="7.6640625" style="945" bestFit="1" customWidth="1"/>
    <col min="4105" max="4105" width="11.6640625" style="945" customWidth="1"/>
    <col min="4106" max="4106" width="9" style="945" bestFit="1" customWidth="1"/>
    <col min="4107" max="4352" width="8.88671875" style="945"/>
    <col min="4353" max="4353" width="4.77734375" style="945" customWidth="1"/>
    <col min="4354" max="4354" width="26.77734375" style="945" customWidth="1"/>
    <col min="4355" max="4355" width="2.77734375" style="945" customWidth="1"/>
    <col min="4356" max="4356" width="2.21875" style="945" customWidth="1"/>
    <col min="4357" max="4357" width="5.21875" style="945" customWidth="1"/>
    <col min="4358" max="4358" width="6.21875" style="945" customWidth="1"/>
    <col min="4359" max="4359" width="8" style="945" bestFit="1" customWidth="1"/>
    <col min="4360" max="4360" width="7.6640625" style="945" bestFit="1" customWidth="1"/>
    <col min="4361" max="4361" width="11.6640625" style="945" customWidth="1"/>
    <col min="4362" max="4362" width="9" style="945" bestFit="1" customWidth="1"/>
    <col min="4363" max="4608" width="8.88671875" style="945"/>
    <col min="4609" max="4609" width="4.77734375" style="945" customWidth="1"/>
    <col min="4610" max="4610" width="26.77734375" style="945" customWidth="1"/>
    <col min="4611" max="4611" width="2.77734375" style="945" customWidth="1"/>
    <col min="4612" max="4612" width="2.21875" style="945" customWidth="1"/>
    <col min="4613" max="4613" width="5.21875" style="945" customWidth="1"/>
    <col min="4614" max="4614" width="6.21875" style="945" customWidth="1"/>
    <col min="4615" max="4615" width="8" style="945" bestFit="1" customWidth="1"/>
    <col min="4616" max="4616" width="7.6640625" style="945" bestFit="1" customWidth="1"/>
    <col min="4617" max="4617" width="11.6640625" style="945" customWidth="1"/>
    <col min="4618" max="4618" width="9" style="945" bestFit="1" customWidth="1"/>
    <col min="4619" max="4864" width="8.88671875" style="945"/>
    <col min="4865" max="4865" width="4.77734375" style="945" customWidth="1"/>
    <col min="4866" max="4866" width="26.77734375" style="945" customWidth="1"/>
    <col min="4867" max="4867" width="2.77734375" style="945" customWidth="1"/>
    <col min="4868" max="4868" width="2.21875" style="945" customWidth="1"/>
    <col min="4869" max="4869" width="5.21875" style="945" customWidth="1"/>
    <col min="4870" max="4870" width="6.21875" style="945" customWidth="1"/>
    <col min="4871" max="4871" width="8" style="945" bestFit="1" customWidth="1"/>
    <col min="4872" max="4872" width="7.6640625" style="945" bestFit="1" customWidth="1"/>
    <col min="4873" max="4873" width="11.6640625" style="945" customWidth="1"/>
    <col min="4874" max="4874" width="9" style="945" bestFit="1" customWidth="1"/>
    <col min="4875" max="5120" width="8.88671875" style="945"/>
    <col min="5121" max="5121" width="4.77734375" style="945" customWidth="1"/>
    <col min="5122" max="5122" width="26.77734375" style="945" customWidth="1"/>
    <col min="5123" max="5123" width="2.77734375" style="945" customWidth="1"/>
    <col min="5124" max="5124" width="2.21875" style="945" customWidth="1"/>
    <col min="5125" max="5125" width="5.21875" style="945" customWidth="1"/>
    <col min="5126" max="5126" width="6.21875" style="945" customWidth="1"/>
    <col min="5127" max="5127" width="8" style="945" bestFit="1" customWidth="1"/>
    <col min="5128" max="5128" width="7.6640625" style="945" bestFit="1" customWidth="1"/>
    <col min="5129" max="5129" width="11.6640625" style="945" customWidth="1"/>
    <col min="5130" max="5130" width="9" style="945" bestFit="1" customWidth="1"/>
    <col min="5131" max="5376" width="8.88671875" style="945"/>
    <col min="5377" max="5377" width="4.77734375" style="945" customWidth="1"/>
    <col min="5378" max="5378" width="26.77734375" style="945" customWidth="1"/>
    <col min="5379" max="5379" width="2.77734375" style="945" customWidth="1"/>
    <col min="5380" max="5380" width="2.21875" style="945" customWidth="1"/>
    <col min="5381" max="5381" width="5.21875" style="945" customWidth="1"/>
    <col min="5382" max="5382" width="6.21875" style="945" customWidth="1"/>
    <col min="5383" max="5383" width="8" style="945" bestFit="1" customWidth="1"/>
    <col min="5384" max="5384" width="7.6640625" style="945" bestFit="1" customWidth="1"/>
    <col min="5385" max="5385" width="11.6640625" style="945" customWidth="1"/>
    <col min="5386" max="5386" width="9" style="945" bestFit="1" customWidth="1"/>
    <col min="5387" max="5632" width="8.88671875" style="945"/>
    <col min="5633" max="5633" width="4.77734375" style="945" customWidth="1"/>
    <col min="5634" max="5634" width="26.77734375" style="945" customWidth="1"/>
    <col min="5635" max="5635" width="2.77734375" style="945" customWidth="1"/>
    <col min="5636" max="5636" width="2.21875" style="945" customWidth="1"/>
    <col min="5637" max="5637" width="5.21875" style="945" customWidth="1"/>
    <col min="5638" max="5638" width="6.21875" style="945" customWidth="1"/>
    <col min="5639" max="5639" width="8" style="945" bestFit="1" customWidth="1"/>
    <col min="5640" max="5640" width="7.6640625" style="945" bestFit="1" customWidth="1"/>
    <col min="5641" max="5641" width="11.6640625" style="945" customWidth="1"/>
    <col min="5642" max="5642" width="9" style="945" bestFit="1" customWidth="1"/>
    <col min="5643" max="5888" width="8.88671875" style="945"/>
    <col min="5889" max="5889" width="4.77734375" style="945" customWidth="1"/>
    <col min="5890" max="5890" width="26.77734375" style="945" customWidth="1"/>
    <col min="5891" max="5891" width="2.77734375" style="945" customWidth="1"/>
    <col min="5892" max="5892" width="2.21875" style="945" customWidth="1"/>
    <col min="5893" max="5893" width="5.21875" style="945" customWidth="1"/>
    <col min="5894" max="5894" width="6.21875" style="945" customWidth="1"/>
    <col min="5895" max="5895" width="8" style="945" bestFit="1" customWidth="1"/>
    <col min="5896" max="5896" width="7.6640625" style="945" bestFit="1" customWidth="1"/>
    <col min="5897" max="5897" width="11.6640625" style="945" customWidth="1"/>
    <col min="5898" max="5898" width="9" style="945" bestFit="1" customWidth="1"/>
    <col min="5899" max="6144" width="8.88671875" style="945"/>
    <col min="6145" max="6145" width="4.77734375" style="945" customWidth="1"/>
    <col min="6146" max="6146" width="26.77734375" style="945" customWidth="1"/>
    <col min="6147" max="6147" width="2.77734375" style="945" customWidth="1"/>
    <col min="6148" max="6148" width="2.21875" style="945" customWidth="1"/>
    <col min="6149" max="6149" width="5.21875" style="945" customWidth="1"/>
    <col min="6150" max="6150" width="6.21875" style="945" customWidth="1"/>
    <col min="6151" max="6151" width="8" style="945" bestFit="1" customWidth="1"/>
    <col min="6152" max="6152" width="7.6640625" style="945" bestFit="1" customWidth="1"/>
    <col min="6153" max="6153" width="11.6640625" style="945" customWidth="1"/>
    <col min="6154" max="6154" width="9" style="945" bestFit="1" customWidth="1"/>
    <col min="6155" max="6400" width="8.88671875" style="945"/>
    <col min="6401" max="6401" width="4.77734375" style="945" customWidth="1"/>
    <col min="6402" max="6402" width="26.77734375" style="945" customWidth="1"/>
    <col min="6403" max="6403" width="2.77734375" style="945" customWidth="1"/>
    <col min="6404" max="6404" width="2.21875" style="945" customWidth="1"/>
    <col min="6405" max="6405" width="5.21875" style="945" customWidth="1"/>
    <col min="6406" max="6406" width="6.21875" style="945" customWidth="1"/>
    <col min="6407" max="6407" width="8" style="945" bestFit="1" customWidth="1"/>
    <col min="6408" max="6408" width="7.6640625" style="945" bestFit="1" customWidth="1"/>
    <col min="6409" max="6409" width="11.6640625" style="945" customWidth="1"/>
    <col min="6410" max="6410" width="9" style="945" bestFit="1" customWidth="1"/>
    <col min="6411" max="6656" width="8.88671875" style="945"/>
    <col min="6657" max="6657" width="4.77734375" style="945" customWidth="1"/>
    <col min="6658" max="6658" width="26.77734375" style="945" customWidth="1"/>
    <col min="6659" max="6659" width="2.77734375" style="945" customWidth="1"/>
    <col min="6660" max="6660" width="2.21875" style="945" customWidth="1"/>
    <col min="6661" max="6661" width="5.21875" style="945" customWidth="1"/>
    <col min="6662" max="6662" width="6.21875" style="945" customWidth="1"/>
    <col min="6663" max="6663" width="8" style="945" bestFit="1" customWidth="1"/>
    <col min="6664" max="6664" width="7.6640625" style="945" bestFit="1" customWidth="1"/>
    <col min="6665" max="6665" width="11.6640625" style="945" customWidth="1"/>
    <col min="6666" max="6666" width="9" style="945" bestFit="1" customWidth="1"/>
    <col min="6667" max="6912" width="8.88671875" style="945"/>
    <col min="6913" max="6913" width="4.77734375" style="945" customWidth="1"/>
    <col min="6914" max="6914" width="26.77734375" style="945" customWidth="1"/>
    <col min="6915" max="6915" width="2.77734375" style="945" customWidth="1"/>
    <col min="6916" max="6916" width="2.21875" style="945" customWidth="1"/>
    <col min="6917" max="6917" width="5.21875" style="945" customWidth="1"/>
    <col min="6918" max="6918" width="6.21875" style="945" customWidth="1"/>
    <col min="6919" max="6919" width="8" style="945" bestFit="1" customWidth="1"/>
    <col min="6920" max="6920" width="7.6640625" style="945" bestFit="1" customWidth="1"/>
    <col min="6921" max="6921" width="11.6640625" style="945" customWidth="1"/>
    <col min="6922" max="6922" width="9" style="945" bestFit="1" customWidth="1"/>
    <col min="6923" max="7168" width="8.88671875" style="945"/>
    <col min="7169" max="7169" width="4.77734375" style="945" customWidth="1"/>
    <col min="7170" max="7170" width="26.77734375" style="945" customWidth="1"/>
    <col min="7171" max="7171" width="2.77734375" style="945" customWidth="1"/>
    <col min="7172" max="7172" width="2.21875" style="945" customWidth="1"/>
    <col min="7173" max="7173" width="5.21875" style="945" customWidth="1"/>
    <col min="7174" max="7174" width="6.21875" style="945" customWidth="1"/>
    <col min="7175" max="7175" width="8" style="945" bestFit="1" customWidth="1"/>
    <col min="7176" max="7176" width="7.6640625" style="945" bestFit="1" customWidth="1"/>
    <col min="7177" max="7177" width="11.6640625" style="945" customWidth="1"/>
    <col min="7178" max="7178" width="9" style="945" bestFit="1" customWidth="1"/>
    <col min="7179" max="7424" width="8.88671875" style="945"/>
    <col min="7425" max="7425" width="4.77734375" style="945" customWidth="1"/>
    <col min="7426" max="7426" width="26.77734375" style="945" customWidth="1"/>
    <col min="7427" max="7427" width="2.77734375" style="945" customWidth="1"/>
    <col min="7428" max="7428" width="2.21875" style="945" customWidth="1"/>
    <col min="7429" max="7429" width="5.21875" style="945" customWidth="1"/>
    <col min="7430" max="7430" width="6.21875" style="945" customWidth="1"/>
    <col min="7431" max="7431" width="8" style="945" bestFit="1" customWidth="1"/>
    <col min="7432" max="7432" width="7.6640625" style="945" bestFit="1" customWidth="1"/>
    <col min="7433" max="7433" width="11.6640625" style="945" customWidth="1"/>
    <col min="7434" max="7434" width="9" style="945" bestFit="1" customWidth="1"/>
    <col min="7435" max="7680" width="8.88671875" style="945"/>
    <col min="7681" max="7681" width="4.77734375" style="945" customWidth="1"/>
    <col min="7682" max="7682" width="26.77734375" style="945" customWidth="1"/>
    <col min="7683" max="7683" width="2.77734375" style="945" customWidth="1"/>
    <col min="7684" max="7684" width="2.21875" style="945" customWidth="1"/>
    <col min="7685" max="7685" width="5.21875" style="945" customWidth="1"/>
    <col min="7686" max="7686" width="6.21875" style="945" customWidth="1"/>
    <col min="7687" max="7687" width="8" style="945" bestFit="1" customWidth="1"/>
    <col min="7688" max="7688" width="7.6640625" style="945" bestFit="1" customWidth="1"/>
    <col min="7689" max="7689" width="11.6640625" style="945" customWidth="1"/>
    <col min="7690" max="7690" width="9" style="945" bestFit="1" customWidth="1"/>
    <col min="7691" max="7936" width="8.88671875" style="945"/>
    <col min="7937" max="7937" width="4.77734375" style="945" customWidth="1"/>
    <col min="7938" max="7938" width="26.77734375" style="945" customWidth="1"/>
    <col min="7939" max="7939" width="2.77734375" style="945" customWidth="1"/>
    <col min="7940" max="7940" width="2.21875" style="945" customWidth="1"/>
    <col min="7941" max="7941" width="5.21875" style="945" customWidth="1"/>
    <col min="7942" max="7942" width="6.21875" style="945" customWidth="1"/>
    <col min="7943" max="7943" width="8" style="945" bestFit="1" customWidth="1"/>
    <col min="7944" max="7944" width="7.6640625" style="945" bestFit="1" customWidth="1"/>
    <col min="7945" max="7945" width="11.6640625" style="945" customWidth="1"/>
    <col min="7946" max="7946" width="9" style="945" bestFit="1" customWidth="1"/>
    <col min="7947" max="8192" width="8.88671875" style="945"/>
    <col min="8193" max="8193" width="4.77734375" style="945" customWidth="1"/>
    <col min="8194" max="8194" width="26.77734375" style="945" customWidth="1"/>
    <col min="8195" max="8195" width="2.77734375" style="945" customWidth="1"/>
    <col min="8196" max="8196" width="2.21875" style="945" customWidth="1"/>
    <col min="8197" max="8197" width="5.21875" style="945" customWidth="1"/>
    <col min="8198" max="8198" width="6.21875" style="945" customWidth="1"/>
    <col min="8199" max="8199" width="8" style="945" bestFit="1" customWidth="1"/>
    <col min="8200" max="8200" width="7.6640625" style="945" bestFit="1" customWidth="1"/>
    <col min="8201" max="8201" width="11.6640625" style="945" customWidth="1"/>
    <col min="8202" max="8202" width="9" style="945" bestFit="1" customWidth="1"/>
    <col min="8203" max="8448" width="8.88671875" style="945"/>
    <col min="8449" max="8449" width="4.77734375" style="945" customWidth="1"/>
    <col min="8450" max="8450" width="26.77734375" style="945" customWidth="1"/>
    <col min="8451" max="8451" width="2.77734375" style="945" customWidth="1"/>
    <col min="8452" max="8452" width="2.21875" style="945" customWidth="1"/>
    <col min="8453" max="8453" width="5.21875" style="945" customWidth="1"/>
    <col min="8454" max="8454" width="6.21875" style="945" customWidth="1"/>
    <col min="8455" max="8455" width="8" style="945" bestFit="1" customWidth="1"/>
    <col min="8456" max="8456" width="7.6640625" style="945" bestFit="1" customWidth="1"/>
    <col min="8457" max="8457" width="11.6640625" style="945" customWidth="1"/>
    <col min="8458" max="8458" width="9" style="945" bestFit="1" customWidth="1"/>
    <col min="8459" max="8704" width="8.88671875" style="945"/>
    <col min="8705" max="8705" width="4.77734375" style="945" customWidth="1"/>
    <col min="8706" max="8706" width="26.77734375" style="945" customWidth="1"/>
    <col min="8707" max="8707" width="2.77734375" style="945" customWidth="1"/>
    <col min="8708" max="8708" width="2.21875" style="945" customWidth="1"/>
    <col min="8709" max="8709" width="5.21875" style="945" customWidth="1"/>
    <col min="8710" max="8710" width="6.21875" style="945" customWidth="1"/>
    <col min="8711" max="8711" width="8" style="945" bestFit="1" customWidth="1"/>
    <col min="8712" max="8712" width="7.6640625" style="945" bestFit="1" customWidth="1"/>
    <col min="8713" max="8713" width="11.6640625" style="945" customWidth="1"/>
    <col min="8714" max="8714" width="9" style="945" bestFit="1" customWidth="1"/>
    <col min="8715" max="8960" width="8.88671875" style="945"/>
    <col min="8961" max="8961" width="4.77734375" style="945" customWidth="1"/>
    <col min="8962" max="8962" width="26.77734375" style="945" customWidth="1"/>
    <col min="8963" max="8963" width="2.77734375" style="945" customWidth="1"/>
    <col min="8964" max="8964" width="2.21875" style="945" customWidth="1"/>
    <col min="8965" max="8965" width="5.21875" style="945" customWidth="1"/>
    <col min="8966" max="8966" width="6.21875" style="945" customWidth="1"/>
    <col min="8967" max="8967" width="8" style="945" bestFit="1" customWidth="1"/>
    <col min="8968" max="8968" width="7.6640625" style="945" bestFit="1" customWidth="1"/>
    <col min="8969" max="8969" width="11.6640625" style="945" customWidth="1"/>
    <col min="8970" max="8970" width="9" style="945" bestFit="1" customWidth="1"/>
    <col min="8971" max="9216" width="8.88671875" style="945"/>
    <col min="9217" max="9217" width="4.77734375" style="945" customWidth="1"/>
    <col min="9218" max="9218" width="26.77734375" style="945" customWidth="1"/>
    <col min="9219" max="9219" width="2.77734375" style="945" customWidth="1"/>
    <col min="9220" max="9220" width="2.21875" style="945" customWidth="1"/>
    <col min="9221" max="9221" width="5.21875" style="945" customWidth="1"/>
    <col min="9222" max="9222" width="6.21875" style="945" customWidth="1"/>
    <col min="9223" max="9223" width="8" style="945" bestFit="1" customWidth="1"/>
    <col min="9224" max="9224" width="7.6640625" style="945" bestFit="1" customWidth="1"/>
    <col min="9225" max="9225" width="11.6640625" style="945" customWidth="1"/>
    <col min="9226" max="9226" width="9" style="945" bestFit="1" customWidth="1"/>
    <col min="9227" max="9472" width="8.88671875" style="945"/>
    <col min="9473" max="9473" width="4.77734375" style="945" customWidth="1"/>
    <col min="9474" max="9474" width="26.77734375" style="945" customWidth="1"/>
    <col min="9475" max="9475" width="2.77734375" style="945" customWidth="1"/>
    <col min="9476" max="9476" width="2.21875" style="945" customWidth="1"/>
    <col min="9477" max="9477" width="5.21875" style="945" customWidth="1"/>
    <col min="9478" max="9478" width="6.21875" style="945" customWidth="1"/>
    <col min="9479" max="9479" width="8" style="945" bestFit="1" customWidth="1"/>
    <col min="9480" max="9480" width="7.6640625" style="945" bestFit="1" customWidth="1"/>
    <col min="9481" max="9481" width="11.6640625" style="945" customWidth="1"/>
    <col min="9482" max="9482" width="9" style="945" bestFit="1" customWidth="1"/>
    <col min="9483" max="9728" width="8.88671875" style="945"/>
    <col min="9729" max="9729" width="4.77734375" style="945" customWidth="1"/>
    <col min="9730" max="9730" width="26.77734375" style="945" customWidth="1"/>
    <col min="9731" max="9731" width="2.77734375" style="945" customWidth="1"/>
    <col min="9732" max="9732" width="2.21875" style="945" customWidth="1"/>
    <col min="9733" max="9733" width="5.21875" style="945" customWidth="1"/>
    <col min="9734" max="9734" width="6.21875" style="945" customWidth="1"/>
    <col min="9735" max="9735" width="8" style="945" bestFit="1" customWidth="1"/>
    <col min="9736" max="9736" width="7.6640625" style="945" bestFit="1" customWidth="1"/>
    <col min="9737" max="9737" width="11.6640625" style="945" customWidth="1"/>
    <col min="9738" max="9738" width="9" style="945" bestFit="1" customWidth="1"/>
    <col min="9739" max="9984" width="8.88671875" style="945"/>
    <col min="9985" max="9985" width="4.77734375" style="945" customWidth="1"/>
    <col min="9986" max="9986" width="26.77734375" style="945" customWidth="1"/>
    <col min="9987" max="9987" width="2.77734375" style="945" customWidth="1"/>
    <col min="9988" max="9988" width="2.21875" style="945" customWidth="1"/>
    <col min="9989" max="9989" width="5.21875" style="945" customWidth="1"/>
    <col min="9990" max="9990" width="6.21875" style="945" customWidth="1"/>
    <col min="9991" max="9991" width="8" style="945" bestFit="1" customWidth="1"/>
    <col min="9992" max="9992" width="7.6640625" style="945" bestFit="1" customWidth="1"/>
    <col min="9993" max="9993" width="11.6640625" style="945" customWidth="1"/>
    <col min="9994" max="9994" width="9" style="945" bestFit="1" customWidth="1"/>
    <col min="9995" max="10240" width="8.88671875" style="945"/>
    <col min="10241" max="10241" width="4.77734375" style="945" customWidth="1"/>
    <col min="10242" max="10242" width="26.77734375" style="945" customWidth="1"/>
    <col min="10243" max="10243" width="2.77734375" style="945" customWidth="1"/>
    <col min="10244" max="10244" width="2.21875" style="945" customWidth="1"/>
    <col min="10245" max="10245" width="5.21875" style="945" customWidth="1"/>
    <col min="10246" max="10246" width="6.21875" style="945" customWidth="1"/>
    <col min="10247" max="10247" width="8" style="945" bestFit="1" customWidth="1"/>
    <col min="10248" max="10248" width="7.6640625" style="945" bestFit="1" customWidth="1"/>
    <col min="10249" max="10249" width="11.6640625" style="945" customWidth="1"/>
    <col min="10250" max="10250" width="9" style="945" bestFit="1" customWidth="1"/>
    <col min="10251" max="10496" width="8.88671875" style="945"/>
    <col min="10497" max="10497" width="4.77734375" style="945" customWidth="1"/>
    <col min="10498" max="10498" width="26.77734375" style="945" customWidth="1"/>
    <col min="10499" max="10499" width="2.77734375" style="945" customWidth="1"/>
    <col min="10500" max="10500" width="2.21875" style="945" customWidth="1"/>
    <col min="10501" max="10501" width="5.21875" style="945" customWidth="1"/>
    <col min="10502" max="10502" width="6.21875" style="945" customWidth="1"/>
    <col min="10503" max="10503" width="8" style="945" bestFit="1" customWidth="1"/>
    <col min="10504" max="10504" width="7.6640625" style="945" bestFit="1" customWidth="1"/>
    <col min="10505" max="10505" width="11.6640625" style="945" customWidth="1"/>
    <col min="10506" max="10506" width="9" style="945" bestFit="1" customWidth="1"/>
    <col min="10507" max="10752" width="8.88671875" style="945"/>
    <col min="10753" max="10753" width="4.77734375" style="945" customWidth="1"/>
    <col min="10754" max="10754" width="26.77734375" style="945" customWidth="1"/>
    <col min="10755" max="10755" width="2.77734375" style="945" customWidth="1"/>
    <col min="10756" max="10756" width="2.21875" style="945" customWidth="1"/>
    <col min="10757" max="10757" width="5.21875" style="945" customWidth="1"/>
    <col min="10758" max="10758" width="6.21875" style="945" customWidth="1"/>
    <col min="10759" max="10759" width="8" style="945" bestFit="1" customWidth="1"/>
    <col min="10760" max="10760" width="7.6640625" style="945" bestFit="1" customWidth="1"/>
    <col min="10761" max="10761" width="11.6640625" style="945" customWidth="1"/>
    <col min="10762" max="10762" width="9" style="945" bestFit="1" customWidth="1"/>
    <col min="10763" max="11008" width="8.88671875" style="945"/>
    <col min="11009" max="11009" width="4.77734375" style="945" customWidth="1"/>
    <col min="11010" max="11010" width="26.77734375" style="945" customWidth="1"/>
    <col min="11011" max="11011" width="2.77734375" style="945" customWidth="1"/>
    <col min="11012" max="11012" width="2.21875" style="945" customWidth="1"/>
    <col min="11013" max="11013" width="5.21875" style="945" customWidth="1"/>
    <col min="11014" max="11014" width="6.21875" style="945" customWidth="1"/>
    <col min="11015" max="11015" width="8" style="945" bestFit="1" customWidth="1"/>
    <col min="11016" max="11016" width="7.6640625" style="945" bestFit="1" customWidth="1"/>
    <col min="11017" max="11017" width="11.6640625" style="945" customWidth="1"/>
    <col min="11018" max="11018" width="9" style="945" bestFit="1" customWidth="1"/>
    <col min="11019" max="11264" width="8.88671875" style="945"/>
    <col min="11265" max="11265" width="4.77734375" style="945" customWidth="1"/>
    <col min="11266" max="11266" width="26.77734375" style="945" customWidth="1"/>
    <col min="11267" max="11267" width="2.77734375" style="945" customWidth="1"/>
    <col min="11268" max="11268" width="2.21875" style="945" customWidth="1"/>
    <col min="11269" max="11269" width="5.21875" style="945" customWidth="1"/>
    <col min="11270" max="11270" width="6.21875" style="945" customWidth="1"/>
    <col min="11271" max="11271" width="8" style="945" bestFit="1" customWidth="1"/>
    <col min="11272" max="11272" width="7.6640625" style="945" bestFit="1" customWidth="1"/>
    <col min="11273" max="11273" width="11.6640625" style="945" customWidth="1"/>
    <col min="11274" max="11274" width="9" style="945" bestFit="1" customWidth="1"/>
    <col min="11275" max="11520" width="8.88671875" style="945"/>
    <col min="11521" max="11521" width="4.77734375" style="945" customWidth="1"/>
    <col min="11522" max="11522" width="26.77734375" style="945" customWidth="1"/>
    <col min="11523" max="11523" width="2.77734375" style="945" customWidth="1"/>
    <col min="11524" max="11524" width="2.21875" style="945" customWidth="1"/>
    <col min="11525" max="11525" width="5.21875" style="945" customWidth="1"/>
    <col min="11526" max="11526" width="6.21875" style="945" customWidth="1"/>
    <col min="11527" max="11527" width="8" style="945" bestFit="1" customWidth="1"/>
    <col min="11528" max="11528" width="7.6640625" style="945" bestFit="1" customWidth="1"/>
    <col min="11529" max="11529" width="11.6640625" style="945" customWidth="1"/>
    <col min="11530" max="11530" width="9" style="945" bestFit="1" customWidth="1"/>
    <col min="11531" max="11776" width="8.88671875" style="945"/>
    <col min="11777" max="11777" width="4.77734375" style="945" customWidth="1"/>
    <col min="11778" max="11778" width="26.77734375" style="945" customWidth="1"/>
    <col min="11779" max="11779" width="2.77734375" style="945" customWidth="1"/>
    <col min="11780" max="11780" width="2.21875" style="945" customWidth="1"/>
    <col min="11781" max="11781" width="5.21875" style="945" customWidth="1"/>
    <col min="11782" max="11782" width="6.21875" style="945" customWidth="1"/>
    <col min="11783" max="11783" width="8" style="945" bestFit="1" customWidth="1"/>
    <col min="11784" max="11784" width="7.6640625" style="945" bestFit="1" customWidth="1"/>
    <col min="11785" max="11785" width="11.6640625" style="945" customWidth="1"/>
    <col min="11786" max="11786" width="9" style="945" bestFit="1" customWidth="1"/>
    <col min="11787" max="12032" width="8.88671875" style="945"/>
    <col min="12033" max="12033" width="4.77734375" style="945" customWidth="1"/>
    <col min="12034" max="12034" width="26.77734375" style="945" customWidth="1"/>
    <col min="12035" max="12035" width="2.77734375" style="945" customWidth="1"/>
    <col min="12036" max="12036" width="2.21875" style="945" customWidth="1"/>
    <col min="12037" max="12037" width="5.21875" style="945" customWidth="1"/>
    <col min="12038" max="12038" width="6.21875" style="945" customWidth="1"/>
    <col min="12039" max="12039" width="8" style="945" bestFit="1" customWidth="1"/>
    <col min="12040" max="12040" width="7.6640625" style="945" bestFit="1" customWidth="1"/>
    <col min="12041" max="12041" width="11.6640625" style="945" customWidth="1"/>
    <col min="12042" max="12042" width="9" style="945" bestFit="1" customWidth="1"/>
    <col min="12043" max="12288" width="8.88671875" style="945"/>
    <col min="12289" max="12289" width="4.77734375" style="945" customWidth="1"/>
    <col min="12290" max="12290" width="26.77734375" style="945" customWidth="1"/>
    <col min="12291" max="12291" width="2.77734375" style="945" customWidth="1"/>
    <col min="12292" max="12292" width="2.21875" style="945" customWidth="1"/>
    <col min="12293" max="12293" width="5.21875" style="945" customWidth="1"/>
    <col min="12294" max="12294" width="6.21875" style="945" customWidth="1"/>
    <col min="12295" max="12295" width="8" style="945" bestFit="1" customWidth="1"/>
    <col min="12296" max="12296" width="7.6640625" style="945" bestFit="1" customWidth="1"/>
    <col min="12297" max="12297" width="11.6640625" style="945" customWidth="1"/>
    <col min="12298" max="12298" width="9" style="945" bestFit="1" customWidth="1"/>
    <col min="12299" max="12544" width="8.88671875" style="945"/>
    <col min="12545" max="12545" width="4.77734375" style="945" customWidth="1"/>
    <col min="12546" max="12546" width="26.77734375" style="945" customWidth="1"/>
    <col min="12547" max="12547" width="2.77734375" style="945" customWidth="1"/>
    <col min="12548" max="12548" width="2.21875" style="945" customWidth="1"/>
    <col min="12549" max="12549" width="5.21875" style="945" customWidth="1"/>
    <col min="12550" max="12550" width="6.21875" style="945" customWidth="1"/>
    <col min="12551" max="12551" width="8" style="945" bestFit="1" customWidth="1"/>
    <col min="12552" max="12552" width="7.6640625" style="945" bestFit="1" customWidth="1"/>
    <col min="12553" max="12553" width="11.6640625" style="945" customWidth="1"/>
    <col min="12554" max="12554" width="9" style="945" bestFit="1" customWidth="1"/>
    <col min="12555" max="12800" width="8.88671875" style="945"/>
    <col min="12801" max="12801" width="4.77734375" style="945" customWidth="1"/>
    <col min="12802" max="12802" width="26.77734375" style="945" customWidth="1"/>
    <col min="12803" max="12803" width="2.77734375" style="945" customWidth="1"/>
    <col min="12804" max="12804" width="2.21875" style="945" customWidth="1"/>
    <col min="12805" max="12805" width="5.21875" style="945" customWidth="1"/>
    <col min="12806" max="12806" width="6.21875" style="945" customWidth="1"/>
    <col min="12807" max="12807" width="8" style="945" bestFit="1" customWidth="1"/>
    <col min="12808" max="12808" width="7.6640625" style="945" bestFit="1" customWidth="1"/>
    <col min="12809" max="12809" width="11.6640625" style="945" customWidth="1"/>
    <col min="12810" max="12810" width="9" style="945" bestFit="1" customWidth="1"/>
    <col min="12811" max="13056" width="8.88671875" style="945"/>
    <col min="13057" max="13057" width="4.77734375" style="945" customWidth="1"/>
    <col min="13058" max="13058" width="26.77734375" style="945" customWidth="1"/>
    <col min="13059" max="13059" width="2.77734375" style="945" customWidth="1"/>
    <col min="13060" max="13060" width="2.21875" style="945" customWidth="1"/>
    <col min="13061" max="13061" width="5.21875" style="945" customWidth="1"/>
    <col min="13062" max="13062" width="6.21875" style="945" customWidth="1"/>
    <col min="13063" max="13063" width="8" style="945" bestFit="1" customWidth="1"/>
    <col min="13064" max="13064" width="7.6640625" style="945" bestFit="1" customWidth="1"/>
    <col min="13065" max="13065" width="11.6640625" style="945" customWidth="1"/>
    <col min="13066" max="13066" width="9" style="945" bestFit="1" customWidth="1"/>
    <col min="13067" max="13312" width="8.88671875" style="945"/>
    <col min="13313" max="13313" width="4.77734375" style="945" customWidth="1"/>
    <col min="13314" max="13314" width="26.77734375" style="945" customWidth="1"/>
    <col min="13315" max="13315" width="2.77734375" style="945" customWidth="1"/>
    <col min="13316" max="13316" width="2.21875" style="945" customWidth="1"/>
    <col min="13317" max="13317" width="5.21875" style="945" customWidth="1"/>
    <col min="13318" max="13318" width="6.21875" style="945" customWidth="1"/>
    <col min="13319" max="13319" width="8" style="945" bestFit="1" customWidth="1"/>
    <col min="13320" max="13320" width="7.6640625" style="945" bestFit="1" customWidth="1"/>
    <col min="13321" max="13321" width="11.6640625" style="945" customWidth="1"/>
    <col min="13322" max="13322" width="9" style="945" bestFit="1" customWidth="1"/>
    <col min="13323" max="13568" width="8.88671875" style="945"/>
    <col min="13569" max="13569" width="4.77734375" style="945" customWidth="1"/>
    <col min="13570" max="13570" width="26.77734375" style="945" customWidth="1"/>
    <col min="13571" max="13571" width="2.77734375" style="945" customWidth="1"/>
    <col min="13572" max="13572" width="2.21875" style="945" customWidth="1"/>
    <col min="13573" max="13573" width="5.21875" style="945" customWidth="1"/>
    <col min="13574" max="13574" width="6.21875" style="945" customWidth="1"/>
    <col min="13575" max="13575" width="8" style="945" bestFit="1" customWidth="1"/>
    <col min="13576" max="13576" width="7.6640625" style="945" bestFit="1" customWidth="1"/>
    <col min="13577" max="13577" width="11.6640625" style="945" customWidth="1"/>
    <col min="13578" max="13578" width="9" style="945" bestFit="1" customWidth="1"/>
    <col min="13579" max="13824" width="8.88671875" style="945"/>
    <col min="13825" max="13825" width="4.77734375" style="945" customWidth="1"/>
    <col min="13826" max="13826" width="26.77734375" style="945" customWidth="1"/>
    <col min="13827" max="13827" width="2.77734375" style="945" customWidth="1"/>
    <col min="13828" max="13828" width="2.21875" style="945" customWidth="1"/>
    <col min="13829" max="13829" width="5.21875" style="945" customWidth="1"/>
    <col min="13830" max="13830" width="6.21875" style="945" customWidth="1"/>
    <col min="13831" max="13831" width="8" style="945" bestFit="1" customWidth="1"/>
    <col min="13832" max="13832" width="7.6640625" style="945" bestFit="1" customWidth="1"/>
    <col min="13833" max="13833" width="11.6640625" style="945" customWidth="1"/>
    <col min="13834" max="13834" width="9" style="945" bestFit="1" customWidth="1"/>
    <col min="13835" max="14080" width="8.88671875" style="945"/>
    <col min="14081" max="14081" width="4.77734375" style="945" customWidth="1"/>
    <col min="14082" max="14082" width="26.77734375" style="945" customWidth="1"/>
    <col min="14083" max="14083" width="2.77734375" style="945" customWidth="1"/>
    <col min="14084" max="14084" width="2.21875" style="945" customWidth="1"/>
    <col min="14085" max="14085" width="5.21875" style="945" customWidth="1"/>
    <col min="14086" max="14086" width="6.21875" style="945" customWidth="1"/>
    <col min="14087" max="14087" width="8" style="945" bestFit="1" customWidth="1"/>
    <col min="14088" max="14088" width="7.6640625" style="945" bestFit="1" customWidth="1"/>
    <col min="14089" max="14089" width="11.6640625" style="945" customWidth="1"/>
    <col min="14090" max="14090" width="9" style="945" bestFit="1" customWidth="1"/>
    <col min="14091" max="14336" width="8.88671875" style="945"/>
    <col min="14337" max="14337" width="4.77734375" style="945" customWidth="1"/>
    <col min="14338" max="14338" width="26.77734375" style="945" customWidth="1"/>
    <col min="14339" max="14339" width="2.77734375" style="945" customWidth="1"/>
    <col min="14340" max="14340" width="2.21875" style="945" customWidth="1"/>
    <col min="14341" max="14341" width="5.21875" style="945" customWidth="1"/>
    <col min="14342" max="14342" width="6.21875" style="945" customWidth="1"/>
    <col min="14343" max="14343" width="8" style="945" bestFit="1" customWidth="1"/>
    <col min="14344" max="14344" width="7.6640625" style="945" bestFit="1" customWidth="1"/>
    <col min="14345" max="14345" width="11.6640625" style="945" customWidth="1"/>
    <col min="14346" max="14346" width="9" style="945" bestFit="1" customWidth="1"/>
    <col min="14347" max="14592" width="8.88671875" style="945"/>
    <col min="14593" max="14593" width="4.77734375" style="945" customWidth="1"/>
    <col min="14594" max="14594" width="26.77734375" style="945" customWidth="1"/>
    <col min="14595" max="14595" width="2.77734375" style="945" customWidth="1"/>
    <col min="14596" max="14596" width="2.21875" style="945" customWidth="1"/>
    <col min="14597" max="14597" width="5.21875" style="945" customWidth="1"/>
    <col min="14598" max="14598" width="6.21875" style="945" customWidth="1"/>
    <col min="14599" max="14599" width="8" style="945" bestFit="1" customWidth="1"/>
    <col min="14600" max="14600" width="7.6640625" style="945" bestFit="1" customWidth="1"/>
    <col min="14601" max="14601" width="11.6640625" style="945" customWidth="1"/>
    <col min="14602" max="14602" width="9" style="945" bestFit="1" customWidth="1"/>
    <col min="14603" max="14848" width="8.88671875" style="945"/>
    <col min="14849" max="14849" width="4.77734375" style="945" customWidth="1"/>
    <col min="14850" max="14850" width="26.77734375" style="945" customWidth="1"/>
    <col min="14851" max="14851" width="2.77734375" style="945" customWidth="1"/>
    <col min="14852" max="14852" width="2.21875" style="945" customWidth="1"/>
    <col min="14853" max="14853" width="5.21875" style="945" customWidth="1"/>
    <col min="14854" max="14854" width="6.21875" style="945" customWidth="1"/>
    <col min="14855" max="14855" width="8" style="945" bestFit="1" customWidth="1"/>
    <col min="14856" max="14856" width="7.6640625" style="945" bestFit="1" customWidth="1"/>
    <col min="14857" max="14857" width="11.6640625" style="945" customWidth="1"/>
    <col min="14858" max="14858" width="9" style="945" bestFit="1" customWidth="1"/>
    <col min="14859" max="15104" width="8.88671875" style="945"/>
    <col min="15105" max="15105" width="4.77734375" style="945" customWidth="1"/>
    <col min="15106" max="15106" width="26.77734375" style="945" customWidth="1"/>
    <col min="15107" max="15107" width="2.77734375" style="945" customWidth="1"/>
    <col min="15108" max="15108" width="2.21875" style="945" customWidth="1"/>
    <col min="15109" max="15109" width="5.21875" style="945" customWidth="1"/>
    <col min="15110" max="15110" width="6.21875" style="945" customWidth="1"/>
    <col min="15111" max="15111" width="8" style="945" bestFit="1" customWidth="1"/>
    <col min="15112" max="15112" width="7.6640625" style="945" bestFit="1" customWidth="1"/>
    <col min="15113" max="15113" width="11.6640625" style="945" customWidth="1"/>
    <col min="15114" max="15114" width="9" style="945" bestFit="1" customWidth="1"/>
    <col min="15115" max="15360" width="8.88671875" style="945"/>
    <col min="15361" max="15361" width="4.77734375" style="945" customWidth="1"/>
    <col min="15362" max="15362" width="26.77734375" style="945" customWidth="1"/>
    <col min="15363" max="15363" width="2.77734375" style="945" customWidth="1"/>
    <col min="15364" max="15364" width="2.21875" style="945" customWidth="1"/>
    <col min="15365" max="15365" width="5.21875" style="945" customWidth="1"/>
    <col min="15366" max="15366" width="6.21875" style="945" customWidth="1"/>
    <col min="15367" max="15367" width="8" style="945" bestFit="1" customWidth="1"/>
    <col min="15368" max="15368" width="7.6640625" style="945" bestFit="1" customWidth="1"/>
    <col min="15369" max="15369" width="11.6640625" style="945" customWidth="1"/>
    <col min="15370" max="15370" width="9" style="945" bestFit="1" customWidth="1"/>
    <col min="15371" max="15616" width="8.88671875" style="945"/>
    <col min="15617" max="15617" width="4.77734375" style="945" customWidth="1"/>
    <col min="15618" max="15618" width="26.77734375" style="945" customWidth="1"/>
    <col min="15619" max="15619" width="2.77734375" style="945" customWidth="1"/>
    <col min="15620" max="15620" width="2.21875" style="945" customWidth="1"/>
    <col min="15621" max="15621" width="5.21875" style="945" customWidth="1"/>
    <col min="15622" max="15622" width="6.21875" style="945" customWidth="1"/>
    <col min="15623" max="15623" width="8" style="945" bestFit="1" customWidth="1"/>
    <col min="15624" max="15624" width="7.6640625" style="945" bestFit="1" customWidth="1"/>
    <col min="15625" max="15625" width="11.6640625" style="945" customWidth="1"/>
    <col min="15626" max="15626" width="9" style="945" bestFit="1" customWidth="1"/>
    <col min="15627" max="15872" width="8.88671875" style="945"/>
    <col min="15873" max="15873" width="4.77734375" style="945" customWidth="1"/>
    <col min="15874" max="15874" width="26.77734375" style="945" customWidth="1"/>
    <col min="15875" max="15875" width="2.77734375" style="945" customWidth="1"/>
    <col min="15876" max="15876" width="2.21875" style="945" customWidth="1"/>
    <col min="15877" max="15877" width="5.21875" style="945" customWidth="1"/>
    <col min="15878" max="15878" width="6.21875" style="945" customWidth="1"/>
    <col min="15879" max="15879" width="8" style="945" bestFit="1" customWidth="1"/>
    <col min="15880" max="15880" width="7.6640625" style="945" bestFit="1" customWidth="1"/>
    <col min="15881" max="15881" width="11.6640625" style="945" customWidth="1"/>
    <col min="15882" max="15882" width="9" style="945" bestFit="1" customWidth="1"/>
    <col min="15883" max="16128" width="8.88671875" style="945"/>
    <col min="16129" max="16129" width="4.77734375" style="945" customWidth="1"/>
    <col min="16130" max="16130" width="26.77734375" style="945" customWidth="1"/>
    <col min="16131" max="16131" width="2.77734375" style="945" customWidth="1"/>
    <col min="16132" max="16132" width="2.21875" style="945" customWidth="1"/>
    <col min="16133" max="16133" width="5.21875" style="945" customWidth="1"/>
    <col min="16134" max="16134" width="6.21875" style="945" customWidth="1"/>
    <col min="16135" max="16135" width="8" style="945" bestFit="1" customWidth="1"/>
    <col min="16136" max="16136" width="7.6640625" style="945" bestFit="1" customWidth="1"/>
    <col min="16137" max="16137" width="11.6640625" style="945" customWidth="1"/>
    <col min="16138" max="16138" width="9" style="945" bestFit="1" customWidth="1"/>
    <col min="16139" max="16384" width="8.88671875" style="945"/>
  </cols>
  <sheetData>
    <row r="1" spans="1:20" ht="21.75" customHeight="1">
      <c r="A1" s="1218" t="s">
        <v>6379</v>
      </c>
      <c r="B1" s="1218"/>
      <c r="C1" s="1218"/>
      <c r="D1" s="1218"/>
      <c r="E1" s="1218"/>
      <c r="F1" s="1218"/>
      <c r="G1" s="1218"/>
      <c r="H1" s="1218"/>
      <c r="I1" s="1218"/>
    </row>
    <row r="2" spans="1:20" ht="19.5" customHeight="1">
      <c r="A2" s="1218" t="s">
        <v>6380</v>
      </c>
      <c r="B2" s="1218"/>
      <c r="C2" s="1218"/>
      <c r="D2" s="1218"/>
      <c r="E2" s="1218"/>
      <c r="F2" s="1218"/>
      <c r="G2" s="1218"/>
      <c r="H2" s="1218"/>
      <c r="I2" s="1218"/>
    </row>
    <row r="3" spans="1:20" ht="12.75" customHeight="1">
      <c r="A3" s="1189"/>
      <c r="B3" s="1189"/>
      <c r="C3" s="1189"/>
      <c r="D3" s="1189"/>
      <c r="E3" s="1189"/>
      <c r="F3" s="1189"/>
      <c r="G3" s="1189"/>
      <c r="H3" s="1189"/>
      <c r="I3" s="1189"/>
    </row>
    <row r="4" spans="1:20" ht="39" customHeight="1">
      <c r="A4" s="1219" t="s">
        <v>6424</v>
      </c>
      <c r="B4" s="1219"/>
      <c r="C4" s="1219"/>
      <c r="D4" s="1219"/>
      <c r="E4" s="1219"/>
      <c r="F4" s="1219"/>
      <c r="G4" s="1219"/>
      <c r="H4" s="1219"/>
      <c r="I4" s="1219"/>
    </row>
    <row r="5" spans="1:20" s="947" customFormat="1">
      <c r="A5" s="1220" t="s">
        <v>6323</v>
      </c>
      <c r="B5" s="1220"/>
      <c r="C5" s="1220"/>
      <c r="D5" s="1220"/>
      <c r="E5" s="1220"/>
      <c r="F5" s="1220"/>
      <c r="G5" s="1220"/>
      <c r="H5" s="1220"/>
      <c r="I5" s="1220"/>
      <c r="K5" s="950"/>
    </row>
    <row r="6" spans="1:20" s="947" customFormat="1" ht="15.75" customHeight="1">
      <c r="A6" s="951"/>
      <c r="B6" s="952"/>
      <c r="C6" s="952"/>
      <c r="D6" s="952"/>
      <c r="E6" s="952"/>
      <c r="F6" s="952"/>
      <c r="G6" s="952"/>
      <c r="H6" s="952"/>
      <c r="I6" s="952"/>
      <c r="K6" s="950"/>
    </row>
    <row r="7" spans="1:20" s="954" customFormat="1" ht="21" customHeight="1">
      <c r="A7" s="953" t="s">
        <v>6425</v>
      </c>
      <c r="B7" s="1087" t="s">
        <v>1777</v>
      </c>
      <c r="C7" s="1192"/>
      <c r="D7" s="1192"/>
      <c r="E7" s="1192"/>
      <c r="F7" s="1087" t="s">
        <v>6426</v>
      </c>
      <c r="G7" s="1087" t="s">
        <v>1555</v>
      </c>
      <c r="H7" s="1087" t="s">
        <v>6427</v>
      </c>
      <c r="I7" s="1087" t="s">
        <v>6324</v>
      </c>
    </row>
    <row r="8" spans="1:20" s="947" customFormat="1" ht="22.5" hidden="1" customHeight="1">
      <c r="A8" s="1199" t="s">
        <v>6428</v>
      </c>
      <c r="B8" s="1225" t="s">
        <v>6429</v>
      </c>
      <c r="C8" s="1196"/>
      <c r="D8" s="1196"/>
      <c r="E8" s="1196"/>
      <c r="F8" s="1196"/>
      <c r="G8" s="1196"/>
      <c r="H8" s="1196"/>
      <c r="I8" s="1196"/>
      <c r="K8" s="955"/>
      <c r="L8" s="956"/>
      <c r="M8" s="956"/>
      <c r="N8" s="956"/>
      <c r="O8" s="956"/>
      <c r="P8" s="956"/>
      <c r="Q8" s="956"/>
      <c r="R8" s="956"/>
      <c r="S8" s="956"/>
      <c r="T8" s="957"/>
    </row>
    <row r="9" spans="1:20" s="947" customFormat="1" hidden="1">
      <c r="A9" s="1199"/>
      <c r="B9" s="1226" t="s">
        <v>6430</v>
      </c>
      <c r="C9" s="1226"/>
      <c r="D9" s="1226"/>
      <c r="E9" s="1226"/>
      <c r="F9" s="1226"/>
      <c r="G9" s="1226"/>
      <c r="H9" s="1226"/>
      <c r="I9" s="1226"/>
    </row>
    <row r="10" spans="1:20" s="947" customFormat="1" hidden="1">
      <c r="A10" s="1199"/>
      <c r="B10" s="958" t="s">
        <v>6431</v>
      </c>
      <c r="C10" s="952">
        <v>1</v>
      </c>
      <c r="D10" s="952" t="s">
        <v>6432</v>
      </c>
      <c r="E10" s="959">
        <v>3.14</v>
      </c>
      <c r="F10" s="959">
        <v>2.98</v>
      </c>
      <c r="G10" s="959">
        <v>2.98</v>
      </c>
      <c r="H10" s="959">
        <v>1</v>
      </c>
      <c r="I10" s="959">
        <f>ROUND(PRODUCT(C10:H10),2)</f>
        <v>27.88</v>
      </c>
    </row>
    <row r="11" spans="1:20" s="947" customFormat="1" hidden="1">
      <c r="A11" s="1199"/>
      <c r="B11" s="958" t="s">
        <v>6433</v>
      </c>
      <c r="C11" s="952"/>
      <c r="D11" s="952"/>
      <c r="E11" s="952"/>
      <c r="F11" s="1087"/>
      <c r="G11" s="1087"/>
      <c r="H11" s="960"/>
      <c r="I11" s="959">
        <v>0.12</v>
      </c>
      <c r="K11" s="961"/>
    </row>
    <row r="12" spans="1:20" s="947" customFormat="1" hidden="1">
      <c r="A12" s="1199"/>
      <c r="B12" s="958"/>
      <c r="C12" s="952"/>
      <c r="D12" s="952"/>
      <c r="E12" s="1192" t="s">
        <v>2245</v>
      </c>
      <c r="F12" s="1192"/>
      <c r="G12" s="1192"/>
      <c r="H12" s="960">
        <f>SUM(I10:I11)</f>
        <v>28</v>
      </c>
      <c r="I12" s="962" t="s">
        <v>6434</v>
      </c>
      <c r="K12" s="961"/>
    </row>
    <row r="13" spans="1:20" s="947" customFormat="1" ht="72" customHeight="1">
      <c r="A13" s="1204">
        <v>1</v>
      </c>
      <c r="B13" s="1196" t="s">
        <v>6384</v>
      </c>
      <c r="C13" s="1196"/>
      <c r="D13" s="1196"/>
      <c r="E13" s="1196"/>
      <c r="F13" s="1196"/>
      <c r="G13" s="1196"/>
      <c r="H13" s="1196"/>
      <c r="I13" s="1196"/>
    </row>
    <row r="14" spans="1:20" s="947" customFormat="1" ht="16.5" customHeight="1">
      <c r="A14" s="1204"/>
      <c r="B14" s="958" t="s">
        <v>6435</v>
      </c>
      <c r="C14" s="952">
        <v>1</v>
      </c>
      <c r="D14" s="952" t="s">
        <v>6432</v>
      </c>
      <c r="E14" s="952">
        <v>1</v>
      </c>
      <c r="F14" s="959">
        <v>8</v>
      </c>
      <c r="G14" s="959">
        <v>7</v>
      </c>
      <c r="H14" s="959"/>
      <c r="I14" s="959">
        <f>ROUND(PRODUCT(C14:H14),2)</f>
        <v>56</v>
      </c>
    </row>
    <row r="15" spans="1:20" s="947" customFormat="1" ht="15.75" customHeight="1">
      <c r="A15" s="1204"/>
      <c r="B15" s="958"/>
      <c r="C15" s="964"/>
      <c r="D15" s="964"/>
      <c r="E15" s="1192" t="s">
        <v>2245</v>
      </c>
      <c r="F15" s="1192"/>
      <c r="G15" s="1192"/>
      <c r="H15" s="960">
        <f>ROUND(SUM(I14:I14),2)</f>
        <v>56</v>
      </c>
      <c r="I15" s="962" t="s">
        <v>2283</v>
      </c>
    </row>
    <row r="16" spans="1:20" s="965" customFormat="1" ht="90" customHeight="1">
      <c r="A16" s="1205">
        <v>2</v>
      </c>
      <c r="B16" s="1206" t="s">
        <v>6385</v>
      </c>
      <c r="C16" s="1206"/>
      <c r="D16" s="1206"/>
      <c r="E16" s="1206"/>
      <c r="F16" s="1206"/>
      <c r="G16" s="1206"/>
      <c r="H16" s="1206"/>
      <c r="I16" s="1206"/>
      <c r="K16" s="966"/>
    </row>
    <row r="17" spans="1:11" s="965" customFormat="1">
      <c r="A17" s="1205"/>
      <c r="B17" s="967" t="s">
        <v>6437</v>
      </c>
      <c r="C17" s="967"/>
      <c r="D17" s="967"/>
      <c r="E17" s="967"/>
      <c r="F17" s="967"/>
      <c r="G17" s="967"/>
      <c r="H17" s="967"/>
      <c r="I17" s="967"/>
      <c r="K17" s="966"/>
    </row>
    <row r="18" spans="1:11" s="965" customFormat="1" ht="16.5" customHeight="1">
      <c r="A18" s="1205"/>
      <c r="B18" s="968" t="s">
        <v>6438</v>
      </c>
      <c r="C18" s="969">
        <v>1</v>
      </c>
      <c r="D18" s="969" t="s">
        <v>6432</v>
      </c>
      <c r="E18" s="969">
        <v>1</v>
      </c>
      <c r="F18" s="970">
        <v>13</v>
      </c>
      <c r="G18" s="970">
        <v>0.38</v>
      </c>
      <c r="H18" s="970">
        <v>0.3</v>
      </c>
      <c r="I18" s="970">
        <f>ROUND(PRODUCT(C18:H18),2)</f>
        <v>1.48</v>
      </c>
      <c r="K18" s="965">
        <f>36/12</f>
        <v>3</v>
      </c>
    </row>
    <row r="19" spans="1:11" s="965" customFormat="1" ht="16.5" customHeight="1">
      <c r="A19" s="1205"/>
      <c r="B19" s="968"/>
      <c r="C19" s="969"/>
      <c r="D19" s="969"/>
      <c r="E19" s="969"/>
      <c r="F19" s="970"/>
      <c r="G19" s="970"/>
      <c r="H19" s="970"/>
      <c r="I19" s="970">
        <v>0.09</v>
      </c>
    </row>
    <row r="20" spans="1:11" s="965" customFormat="1" ht="17.25" customHeight="1">
      <c r="A20" s="1205"/>
      <c r="B20" s="968"/>
      <c r="C20" s="971"/>
      <c r="D20" s="971"/>
      <c r="E20" s="1207" t="s">
        <v>2245</v>
      </c>
      <c r="F20" s="1207"/>
      <c r="G20" s="1207"/>
      <c r="H20" s="972">
        <f>ROUND(SUM(I18:I19),2)</f>
        <v>1.57</v>
      </c>
      <c r="I20" s="973" t="s">
        <v>2151</v>
      </c>
    </row>
    <row r="21" spans="1:11" s="976" customFormat="1" ht="67.5" customHeight="1">
      <c r="A21" s="974">
        <v>3</v>
      </c>
      <c r="B21" s="1221" t="s">
        <v>6439</v>
      </c>
      <c r="C21" s="1221"/>
      <c r="D21" s="1221"/>
      <c r="E21" s="1221"/>
      <c r="F21" s="1221"/>
      <c r="G21" s="1221"/>
      <c r="H21" s="1221"/>
      <c r="I21" s="1221"/>
      <c r="J21" s="975"/>
    </row>
    <row r="22" spans="1:11" s="976" customFormat="1" ht="24.75" customHeight="1">
      <c r="A22" s="974"/>
      <c r="B22" s="977" t="s">
        <v>6438</v>
      </c>
      <c r="C22" s="974">
        <v>1</v>
      </c>
      <c r="D22" s="974" t="s">
        <v>6432</v>
      </c>
      <c r="E22" s="974">
        <v>1</v>
      </c>
      <c r="F22" s="978">
        <v>13</v>
      </c>
      <c r="G22" s="978">
        <v>0.38</v>
      </c>
      <c r="H22" s="978">
        <v>0.08</v>
      </c>
      <c r="I22" s="978">
        <f>PRODUCT(C22:H22)</f>
        <v>0.4</v>
      </c>
      <c r="J22" s="979"/>
    </row>
    <row r="23" spans="1:11" s="976" customFormat="1" ht="24.75" customHeight="1">
      <c r="A23" s="974"/>
      <c r="B23" s="977"/>
      <c r="C23" s="974"/>
      <c r="D23" s="974"/>
      <c r="E23" s="974"/>
      <c r="F23" s="978"/>
      <c r="G23" s="978"/>
      <c r="H23" s="980" t="s">
        <v>2245</v>
      </c>
      <c r="I23" s="980">
        <f>SUM(I22:I22)</f>
        <v>0.4</v>
      </c>
      <c r="J23" s="979" t="s">
        <v>6440</v>
      </c>
    </row>
    <row r="24" spans="1:11" s="976" customFormat="1" ht="24.75" customHeight="1">
      <c r="A24" s="974"/>
      <c r="B24" s="977"/>
      <c r="C24" s="974"/>
      <c r="D24" s="974"/>
      <c r="E24" s="1207" t="s">
        <v>2245</v>
      </c>
      <c r="F24" s="1207"/>
      <c r="G24" s="1207"/>
      <c r="H24" s="972">
        <v>0.3</v>
      </c>
      <c r="I24" s="973" t="s">
        <v>2151</v>
      </c>
      <c r="J24" s="979"/>
    </row>
    <row r="25" spans="1:11" s="965" customFormat="1" ht="62.25" customHeight="1">
      <c r="A25" s="1205">
        <v>4</v>
      </c>
      <c r="B25" s="1206" t="s">
        <v>6388</v>
      </c>
      <c r="C25" s="1206"/>
      <c r="D25" s="1206"/>
      <c r="E25" s="1206"/>
      <c r="F25" s="1206"/>
      <c r="G25" s="1206"/>
      <c r="H25" s="1206"/>
      <c r="I25" s="1206"/>
      <c r="K25" s="966"/>
    </row>
    <row r="26" spans="1:11" s="965" customFormat="1" ht="16.5" customHeight="1">
      <c r="A26" s="1205"/>
      <c r="B26" s="968" t="s">
        <v>6438</v>
      </c>
      <c r="C26" s="969">
        <v>1</v>
      </c>
      <c r="D26" s="969" t="s">
        <v>6432</v>
      </c>
      <c r="E26" s="969">
        <v>1</v>
      </c>
      <c r="F26" s="970">
        <v>13</v>
      </c>
      <c r="G26" s="970">
        <v>0.38</v>
      </c>
      <c r="H26" s="970">
        <v>0.1</v>
      </c>
      <c r="I26" s="970">
        <f>ROUND(PRODUCT(C26:H26),2)</f>
        <v>0.49</v>
      </c>
      <c r="K26" s="965">
        <f>36/12</f>
        <v>3</v>
      </c>
    </row>
    <row r="27" spans="1:11" s="965" customFormat="1">
      <c r="A27" s="1205"/>
      <c r="B27" s="968" t="s">
        <v>6436</v>
      </c>
      <c r="C27" s="969"/>
      <c r="D27" s="969"/>
      <c r="E27" s="969"/>
      <c r="F27" s="970"/>
      <c r="G27" s="970"/>
      <c r="H27" s="970"/>
      <c r="I27" s="970"/>
    </row>
    <row r="28" spans="1:11" s="965" customFormat="1" ht="29.25" customHeight="1">
      <c r="A28" s="1205"/>
      <c r="B28" s="968"/>
      <c r="C28" s="971"/>
      <c r="D28" s="971"/>
      <c r="E28" s="1207"/>
      <c r="F28" s="1207"/>
      <c r="G28" s="1207"/>
      <c r="H28" s="972">
        <f>ROUND(SUM(I26:I27),2)</f>
        <v>0.49</v>
      </c>
      <c r="I28" s="973" t="s">
        <v>2151</v>
      </c>
    </row>
    <row r="29" spans="1:11" s="965" customFormat="1" ht="50.25" customHeight="1">
      <c r="A29" s="1205">
        <v>5</v>
      </c>
      <c r="B29" s="1206" t="s">
        <v>6389</v>
      </c>
      <c r="C29" s="1206"/>
      <c r="D29" s="1206"/>
      <c r="E29" s="1206"/>
      <c r="F29" s="1206"/>
      <c r="G29" s="1206"/>
      <c r="H29" s="1206"/>
      <c r="I29" s="1206"/>
      <c r="K29" s="966"/>
    </row>
    <row r="30" spans="1:11" s="965" customFormat="1" ht="16.5" customHeight="1">
      <c r="A30" s="1205"/>
      <c r="B30" s="968" t="s">
        <v>6438</v>
      </c>
      <c r="C30" s="969">
        <v>1</v>
      </c>
      <c r="D30" s="969" t="s">
        <v>6432</v>
      </c>
      <c r="E30" s="969">
        <v>1</v>
      </c>
      <c r="F30" s="970">
        <v>13</v>
      </c>
      <c r="G30" s="970">
        <v>0.23</v>
      </c>
      <c r="H30" s="970">
        <v>0.6</v>
      </c>
      <c r="I30" s="970">
        <f>ROUND(PRODUCT(C30:H30),2)</f>
        <v>1.79</v>
      </c>
      <c r="K30" s="965">
        <f>36/12</f>
        <v>3</v>
      </c>
    </row>
    <row r="31" spans="1:11" s="965" customFormat="1">
      <c r="A31" s="1205"/>
      <c r="B31" s="968" t="s">
        <v>6436</v>
      </c>
      <c r="C31" s="969"/>
      <c r="D31" s="969"/>
      <c r="E31" s="969"/>
      <c r="F31" s="970"/>
      <c r="G31" s="970"/>
      <c r="H31" s="970"/>
      <c r="I31" s="970"/>
    </row>
    <row r="32" spans="1:11" s="965" customFormat="1" ht="21" customHeight="1">
      <c r="A32" s="1205"/>
      <c r="B32" s="968"/>
      <c r="C32" s="971"/>
      <c r="D32" s="971"/>
      <c r="E32" s="1207" t="s">
        <v>2245</v>
      </c>
      <c r="F32" s="1207"/>
      <c r="G32" s="1207"/>
      <c r="H32" s="972">
        <f>ROUND(SUM(I30:I31),2)</f>
        <v>1.79</v>
      </c>
      <c r="I32" s="973" t="s">
        <v>2151</v>
      </c>
    </row>
    <row r="33" spans="1:11" s="965" customFormat="1" ht="50.25" customHeight="1">
      <c r="A33" s="1205">
        <v>6</v>
      </c>
      <c r="B33" s="1206" t="s">
        <v>6390</v>
      </c>
      <c r="C33" s="1206"/>
      <c r="D33" s="1206"/>
      <c r="E33" s="1206"/>
      <c r="F33" s="1206"/>
      <c r="G33" s="1206"/>
      <c r="H33" s="1206"/>
      <c r="I33" s="1206"/>
      <c r="K33" s="966"/>
    </row>
    <row r="34" spans="1:11" s="965" customFormat="1" ht="23.25" customHeight="1">
      <c r="A34" s="1205"/>
      <c r="B34" s="1091" t="s">
        <v>3622</v>
      </c>
      <c r="C34" s="1091"/>
      <c r="D34" s="1091"/>
      <c r="E34" s="1091"/>
      <c r="F34" s="1091"/>
      <c r="G34" s="1091"/>
      <c r="H34" s="1091"/>
      <c r="I34" s="1091"/>
      <c r="K34" s="966"/>
    </row>
    <row r="35" spans="1:11" s="965" customFormat="1" ht="16.5" customHeight="1">
      <c r="A35" s="1205"/>
      <c r="B35" s="968" t="s">
        <v>6441</v>
      </c>
      <c r="C35" s="969">
        <v>1</v>
      </c>
      <c r="D35" s="969" t="s">
        <v>6432</v>
      </c>
      <c r="E35" s="969">
        <v>1</v>
      </c>
      <c r="F35" s="970">
        <v>32</v>
      </c>
      <c r="G35" s="970">
        <v>0.23</v>
      </c>
      <c r="H35" s="970">
        <v>0.3</v>
      </c>
      <c r="I35" s="970">
        <f>ROUND(PRODUCT(C35:H35),2)</f>
        <v>2.21</v>
      </c>
      <c r="K35" s="965">
        <f>36/12</f>
        <v>3</v>
      </c>
    </row>
    <row r="36" spans="1:11" s="965" customFormat="1">
      <c r="A36" s="1205"/>
      <c r="B36" s="968" t="s">
        <v>6436</v>
      </c>
      <c r="C36" s="969"/>
      <c r="D36" s="969"/>
      <c r="E36" s="969"/>
      <c r="F36" s="970"/>
      <c r="G36" s="970"/>
      <c r="H36" s="970"/>
      <c r="I36" s="970">
        <v>0.09</v>
      </c>
    </row>
    <row r="37" spans="1:11" s="965" customFormat="1" ht="15.75" customHeight="1">
      <c r="A37" s="1205"/>
      <c r="B37" s="968"/>
      <c r="C37" s="971"/>
      <c r="D37" s="971"/>
      <c r="E37" s="1207" t="s">
        <v>2245</v>
      </c>
      <c r="F37" s="1207"/>
      <c r="G37" s="1207"/>
      <c r="H37" s="972">
        <f>ROUND(SUM(I35:I36),2)</f>
        <v>2.2999999999999998</v>
      </c>
      <c r="I37" s="973" t="s">
        <v>2151</v>
      </c>
    </row>
    <row r="38" spans="1:11" s="965" customFormat="1" ht="54" customHeight="1">
      <c r="A38" s="1205">
        <v>7</v>
      </c>
      <c r="B38" s="1206" t="s">
        <v>6391</v>
      </c>
      <c r="C38" s="1206"/>
      <c r="D38" s="1206"/>
      <c r="E38" s="1206"/>
      <c r="F38" s="1206"/>
      <c r="G38" s="1206"/>
      <c r="H38" s="1206"/>
      <c r="I38" s="1206"/>
      <c r="K38" s="966"/>
    </row>
    <row r="39" spans="1:11" s="965" customFormat="1" ht="16.5" customHeight="1">
      <c r="A39" s="1205"/>
      <c r="B39" s="968" t="s">
        <v>6438</v>
      </c>
      <c r="C39" s="969">
        <v>1</v>
      </c>
      <c r="D39" s="969" t="s">
        <v>6432</v>
      </c>
      <c r="E39" s="969">
        <v>1</v>
      </c>
      <c r="F39" s="970">
        <v>13</v>
      </c>
      <c r="G39" s="970"/>
      <c r="H39" s="970">
        <v>0.75</v>
      </c>
      <c r="I39" s="970">
        <f>ROUND(PRODUCT(C39:H39),2)</f>
        <v>9.75</v>
      </c>
      <c r="K39" s="965">
        <f>36/12</f>
        <v>3</v>
      </c>
    </row>
    <row r="40" spans="1:11" s="965" customFormat="1">
      <c r="A40" s="1205"/>
      <c r="B40" s="968" t="s">
        <v>6436</v>
      </c>
      <c r="C40" s="969"/>
      <c r="D40" s="969"/>
      <c r="E40" s="969"/>
      <c r="F40" s="970"/>
      <c r="G40" s="970"/>
      <c r="H40" s="970"/>
      <c r="I40" s="970"/>
    </row>
    <row r="41" spans="1:11" s="965" customFormat="1" ht="15.75" customHeight="1">
      <c r="A41" s="1205"/>
      <c r="B41" s="968"/>
      <c r="C41" s="971"/>
      <c r="D41" s="971"/>
      <c r="E41" s="1207" t="s">
        <v>2245</v>
      </c>
      <c r="F41" s="1207"/>
      <c r="G41" s="1207"/>
      <c r="H41" s="972">
        <f>ROUND(SUM(I39:I40),2)</f>
        <v>9.75</v>
      </c>
      <c r="I41" s="973" t="s">
        <v>2283</v>
      </c>
    </row>
    <row r="42" spans="1:11" s="965" customFormat="1" ht="53.25" customHeight="1">
      <c r="A42" s="1090">
        <v>8</v>
      </c>
      <c r="B42" s="1222" t="s">
        <v>6392</v>
      </c>
      <c r="C42" s="1223"/>
      <c r="D42" s="1223"/>
      <c r="E42" s="1223"/>
      <c r="F42" s="1223"/>
      <c r="G42" s="1223"/>
      <c r="H42" s="1223"/>
      <c r="I42" s="1224"/>
      <c r="K42" s="966"/>
    </row>
    <row r="43" spans="1:11" s="965" customFormat="1" ht="16.5" customHeight="1">
      <c r="A43" s="1090"/>
      <c r="B43" s="968" t="s">
        <v>6438</v>
      </c>
      <c r="C43" s="969">
        <v>1</v>
      </c>
      <c r="D43" s="969" t="s">
        <v>6432</v>
      </c>
      <c r="E43" s="969">
        <v>1</v>
      </c>
      <c r="F43" s="970">
        <v>13</v>
      </c>
      <c r="G43" s="970"/>
      <c r="H43" s="970">
        <v>0.8</v>
      </c>
      <c r="I43" s="970">
        <f>ROUND(PRODUCT(C43:H43),2)</f>
        <v>10.4</v>
      </c>
      <c r="K43" s="965">
        <f>36/12</f>
        <v>3</v>
      </c>
    </row>
    <row r="44" spans="1:11" s="1004" customFormat="1" ht="18" customHeight="1">
      <c r="A44" s="1088"/>
      <c r="B44" s="963" t="s">
        <v>6441</v>
      </c>
      <c r="C44" s="1005">
        <v>1</v>
      </c>
      <c r="D44" s="1005" t="s">
        <v>6432</v>
      </c>
      <c r="E44" s="1005">
        <v>1</v>
      </c>
      <c r="F44" s="1006">
        <v>38</v>
      </c>
      <c r="G44" s="1006">
        <v>1.25</v>
      </c>
      <c r="H44" s="1006"/>
      <c r="I44" s="1006">
        <f>ROUND(PRODUCT(C44:H44),2)</f>
        <v>47.5</v>
      </c>
      <c r="K44" s="1004">
        <v>50</v>
      </c>
    </row>
    <row r="45" spans="1:11" s="1004" customFormat="1" ht="18" customHeight="1">
      <c r="A45" s="1088"/>
      <c r="B45" s="963" t="s">
        <v>6464</v>
      </c>
      <c r="C45" s="1005">
        <v>1</v>
      </c>
      <c r="D45" s="1005" t="s">
        <v>6432</v>
      </c>
      <c r="E45" s="1005">
        <v>1</v>
      </c>
      <c r="F45" s="1006">
        <v>12</v>
      </c>
      <c r="G45" s="1006">
        <v>1.6</v>
      </c>
      <c r="H45" s="1006"/>
      <c r="I45" s="1006">
        <f>ROUND(PRODUCT(C45:H45),2)</f>
        <v>19.2</v>
      </c>
      <c r="K45" s="1004">
        <v>50</v>
      </c>
    </row>
    <row r="46" spans="1:11" s="965" customFormat="1" ht="15" customHeight="1">
      <c r="A46" s="1090"/>
      <c r="B46" s="968"/>
      <c r="C46" s="971"/>
      <c r="D46" s="971"/>
      <c r="E46" s="1092" t="s">
        <v>2245</v>
      </c>
      <c r="F46" s="1092"/>
      <c r="G46" s="1092"/>
      <c r="H46" s="972">
        <f>ROUND(SUM(I43:I45),2)</f>
        <v>77.099999999999994</v>
      </c>
      <c r="I46" s="973" t="s">
        <v>2283</v>
      </c>
    </row>
    <row r="47" spans="1:11" s="965" customFormat="1" ht="25.5">
      <c r="A47" s="1205">
        <v>9</v>
      </c>
      <c r="B47" s="967" t="s">
        <v>6393</v>
      </c>
      <c r="C47" s="967"/>
      <c r="D47" s="967"/>
      <c r="E47" s="967"/>
      <c r="F47" s="967"/>
      <c r="G47" s="967"/>
      <c r="H47" s="967"/>
      <c r="I47" s="967"/>
      <c r="K47" s="966"/>
    </row>
    <row r="48" spans="1:11" s="965" customFormat="1" ht="16.5" customHeight="1">
      <c r="A48" s="1205"/>
      <c r="B48" s="968" t="s">
        <v>6438</v>
      </c>
      <c r="C48" s="969">
        <v>1</v>
      </c>
      <c r="D48" s="969" t="s">
        <v>6432</v>
      </c>
      <c r="E48" s="969">
        <v>1</v>
      </c>
      <c r="F48" s="970">
        <v>13</v>
      </c>
      <c r="G48" s="970">
        <v>0.6</v>
      </c>
      <c r="H48" s="970"/>
      <c r="I48" s="970">
        <f>ROUND(PRODUCT(C48:H48),2)</f>
        <v>7.8</v>
      </c>
      <c r="K48" s="965">
        <f>36/12</f>
        <v>3</v>
      </c>
    </row>
    <row r="49" spans="1:11" s="965" customFormat="1">
      <c r="A49" s="1205"/>
      <c r="B49" s="968" t="s">
        <v>6436</v>
      </c>
      <c r="C49" s="969"/>
      <c r="D49" s="969"/>
      <c r="E49" s="969"/>
      <c r="F49" s="970"/>
      <c r="G49" s="970"/>
      <c r="H49" s="970"/>
      <c r="I49" s="970"/>
    </row>
    <row r="50" spans="1:11" s="965" customFormat="1" ht="29.25" customHeight="1">
      <c r="A50" s="1205"/>
      <c r="B50" s="968"/>
      <c r="C50" s="971"/>
      <c r="D50" s="971"/>
      <c r="E50" s="1207" t="s">
        <v>2245</v>
      </c>
      <c r="F50" s="1207"/>
      <c r="G50" s="1207"/>
      <c r="H50" s="972">
        <f>ROUND(SUM(I48:I49),2)</f>
        <v>7.8</v>
      </c>
      <c r="I50" s="973" t="s">
        <v>2283</v>
      </c>
    </row>
    <row r="51" spans="1:11" s="947" customFormat="1" ht="63.75" hidden="1" customHeight="1">
      <c r="A51" s="1204">
        <v>10</v>
      </c>
      <c r="B51" s="1196" t="str">
        <f>'[8] Abstract'!C18</f>
        <v>Finishing the top of Terrace floor with one course of solar eflective water proof, heat proof and cool roof ceramic tiles of size 300mmx300mmx8mm thick of  aproved quality laid in cm 1:3, 20mm thick without base concrete mixed with calcium based mineral powder (60 kg for 1000 sqft) (before laying tiles, the tiles should be diped with salin based nano liquid) and top Grouting with cm 1:3, mixed with white cement, silicon powder etc complete</v>
      </c>
      <c r="C51" s="1196"/>
      <c r="D51" s="1196"/>
      <c r="E51" s="1196"/>
      <c r="F51" s="1196"/>
      <c r="G51" s="1196"/>
      <c r="H51" s="1196"/>
      <c r="I51" s="1196"/>
    </row>
    <row r="52" spans="1:11" s="947" customFormat="1" ht="16.5" hidden="1" customHeight="1">
      <c r="A52" s="1204"/>
      <c r="B52" s="958" t="s">
        <v>6435</v>
      </c>
      <c r="C52" s="952">
        <v>1</v>
      </c>
      <c r="D52" s="952" t="s">
        <v>6432</v>
      </c>
      <c r="E52" s="952">
        <v>1</v>
      </c>
      <c r="F52" s="959">
        <v>12.97</v>
      </c>
      <c r="G52" s="959"/>
      <c r="H52" s="959">
        <v>15.32</v>
      </c>
      <c r="I52" s="959">
        <f>ROUND(PRODUCT(C52:H52),2)</f>
        <v>198.7</v>
      </c>
    </row>
    <row r="53" spans="1:11" s="947" customFormat="1" ht="16.5" hidden="1" customHeight="1">
      <c r="A53" s="1204"/>
      <c r="B53" s="958" t="s">
        <v>6442</v>
      </c>
      <c r="C53" s="952">
        <v>1</v>
      </c>
      <c r="D53" s="952" t="s">
        <v>6432</v>
      </c>
      <c r="E53" s="952">
        <v>1</v>
      </c>
      <c r="F53" s="959">
        <v>2.67</v>
      </c>
      <c r="G53" s="959"/>
      <c r="H53" s="959">
        <v>2.4500000000000002</v>
      </c>
      <c r="I53" s="959">
        <f>ROUND(PRODUCT(C53:H53),2)</f>
        <v>6.54</v>
      </c>
    </row>
    <row r="54" spans="1:11" s="947" customFormat="1" ht="16.5" hidden="1" customHeight="1">
      <c r="A54" s="1204"/>
      <c r="B54" s="958" t="s">
        <v>6443</v>
      </c>
      <c r="C54" s="952">
        <v>1</v>
      </c>
      <c r="D54" s="952" t="s">
        <v>6432</v>
      </c>
      <c r="E54" s="952">
        <v>1</v>
      </c>
      <c r="F54" s="959">
        <v>5.95</v>
      </c>
      <c r="G54" s="959"/>
      <c r="H54" s="959">
        <v>2</v>
      </c>
      <c r="I54" s="959">
        <f>ROUND(PRODUCT(C54:H54),2)</f>
        <v>11.9</v>
      </c>
    </row>
    <row r="55" spans="1:11" s="947" customFormat="1" ht="16.5" hidden="1" customHeight="1">
      <c r="A55" s="1204"/>
      <c r="B55" s="958" t="s">
        <v>6444</v>
      </c>
      <c r="C55" s="952">
        <v>1</v>
      </c>
      <c r="D55" s="952" t="s">
        <v>6432</v>
      </c>
      <c r="E55" s="952">
        <v>1</v>
      </c>
      <c r="F55" s="959">
        <v>46.16</v>
      </c>
      <c r="G55" s="959"/>
      <c r="H55" s="959">
        <v>0.1</v>
      </c>
      <c r="I55" s="959">
        <f>ROUND(PRODUCT(C55:H55),2)</f>
        <v>4.62</v>
      </c>
    </row>
    <row r="56" spans="1:11" s="947" customFormat="1" ht="15" hidden="1" customHeight="1">
      <c r="A56" s="1204"/>
      <c r="B56" s="963" t="s">
        <v>6436</v>
      </c>
      <c r="C56" s="952"/>
      <c r="D56" s="952"/>
      <c r="E56" s="952"/>
      <c r="F56" s="959"/>
      <c r="G56" s="959"/>
      <c r="H56" s="959"/>
      <c r="I56" s="959">
        <v>0.04</v>
      </c>
    </row>
    <row r="57" spans="1:11" s="947" customFormat="1" ht="15.75" hidden="1" customHeight="1">
      <c r="A57" s="1204"/>
      <c r="B57" s="958"/>
      <c r="C57" s="964"/>
      <c r="D57" s="964"/>
      <c r="E57" s="1192" t="s">
        <v>2245</v>
      </c>
      <c r="F57" s="1192"/>
      <c r="G57" s="1192"/>
      <c r="H57" s="960"/>
      <c r="I57" s="962" t="s">
        <v>2283</v>
      </c>
    </row>
    <row r="58" spans="1:11" s="981" customFormat="1" ht="78.75" hidden="1" customHeight="1">
      <c r="A58" s="1200">
        <v>2</v>
      </c>
      <c r="B58" s="1202" t="e">
        <f>'[8] Abstract'!#REF!</f>
        <v>#REF!</v>
      </c>
      <c r="C58" s="1202"/>
      <c r="D58" s="1202"/>
      <c r="E58" s="1202"/>
      <c r="F58" s="1202"/>
      <c r="G58" s="1202"/>
      <c r="H58" s="1202"/>
      <c r="I58" s="1202"/>
      <c r="K58" s="982"/>
    </row>
    <row r="59" spans="1:11" s="981" customFormat="1" ht="16.5" hidden="1" customHeight="1">
      <c r="A59" s="1200"/>
      <c r="B59" s="983" t="s">
        <v>6445</v>
      </c>
      <c r="C59" s="984">
        <v>1</v>
      </c>
      <c r="D59" s="984" t="s">
        <v>6432</v>
      </c>
      <c r="E59" s="984">
        <v>1</v>
      </c>
      <c r="F59" s="985">
        <v>3.3</v>
      </c>
      <c r="G59" s="985">
        <v>3</v>
      </c>
      <c r="H59" s="985"/>
      <c r="I59" s="985">
        <f>ROUND(PRODUCT(C59:H59),2)</f>
        <v>9.9</v>
      </c>
    </row>
    <row r="60" spans="1:11" s="981" customFormat="1" ht="16.5" hidden="1" customHeight="1">
      <c r="A60" s="1200"/>
      <c r="B60" s="983" t="s">
        <v>6446</v>
      </c>
      <c r="C60" s="984">
        <v>1</v>
      </c>
      <c r="D60" s="984" t="s">
        <v>6432</v>
      </c>
      <c r="E60" s="984">
        <v>1</v>
      </c>
      <c r="F60" s="985">
        <v>3</v>
      </c>
      <c r="G60" s="985">
        <v>3</v>
      </c>
      <c r="H60" s="985"/>
      <c r="I60" s="985">
        <f>ROUND(PRODUCT(C60:H60),2)</f>
        <v>9</v>
      </c>
    </row>
    <row r="61" spans="1:11" s="981" customFormat="1" hidden="1">
      <c r="A61" s="1200"/>
      <c r="B61" s="986" t="s">
        <v>6436</v>
      </c>
      <c r="C61" s="984"/>
      <c r="D61" s="984"/>
      <c r="E61" s="984"/>
      <c r="F61" s="985"/>
      <c r="G61" s="985"/>
      <c r="H61" s="985"/>
      <c r="I61" s="985"/>
    </row>
    <row r="62" spans="1:11" s="981" customFormat="1" ht="29.25" hidden="1" customHeight="1">
      <c r="A62" s="1200"/>
      <c r="B62" s="983"/>
      <c r="C62" s="987"/>
      <c r="D62" s="987"/>
      <c r="E62" s="1203" t="s">
        <v>2245</v>
      </c>
      <c r="F62" s="1203"/>
      <c r="G62" s="1203"/>
      <c r="H62" s="988"/>
      <c r="I62" s="989" t="s">
        <v>2283</v>
      </c>
      <c r="J62" s="981">
        <v>221</v>
      </c>
    </row>
    <row r="63" spans="1:11" s="981" customFormat="1" ht="60" hidden="1" customHeight="1">
      <c r="A63" s="1213">
        <v>3</v>
      </c>
      <c r="B63" s="1201" t="e">
        <f>'[8] Abstract'!#REF!</f>
        <v>#REF!</v>
      </c>
      <c r="C63" s="1202"/>
      <c r="D63" s="1202"/>
      <c r="E63" s="1202"/>
      <c r="F63" s="1202"/>
      <c r="G63" s="1202"/>
      <c r="H63" s="1202"/>
      <c r="I63" s="1202"/>
    </row>
    <row r="64" spans="1:11" s="981" customFormat="1" ht="17.25" hidden="1" customHeight="1">
      <c r="A64" s="1213"/>
      <c r="B64" s="986" t="s">
        <v>6447</v>
      </c>
      <c r="C64" s="984">
        <v>2</v>
      </c>
      <c r="D64" s="984" t="s">
        <v>6432</v>
      </c>
      <c r="E64" s="984">
        <v>2</v>
      </c>
      <c r="F64" s="985"/>
      <c r="G64" s="985"/>
      <c r="H64" s="985"/>
      <c r="I64" s="985">
        <f>ROUND(PRODUCT(C64:H64),2)</f>
        <v>4</v>
      </c>
    </row>
    <row r="65" spans="1:10" s="981" customFormat="1" hidden="1">
      <c r="A65" s="1213"/>
      <c r="B65" s="986" t="s">
        <v>6436</v>
      </c>
      <c r="C65" s="984"/>
      <c r="D65" s="984"/>
      <c r="E65" s="984"/>
      <c r="F65" s="985"/>
      <c r="G65" s="985"/>
      <c r="H65" s="985"/>
      <c r="I65" s="985"/>
    </row>
    <row r="66" spans="1:10" s="981" customFormat="1" ht="29.25" hidden="1" customHeight="1">
      <c r="A66" s="1213"/>
      <c r="B66" s="983"/>
      <c r="C66" s="987"/>
      <c r="D66" s="987"/>
      <c r="E66" s="1203" t="s">
        <v>2245</v>
      </c>
      <c r="F66" s="1203"/>
      <c r="G66" s="1203"/>
      <c r="H66" s="988"/>
      <c r="I66" s="989" t="s">
        <v>1398</v>
      </c>
      <c r="J66" s="981">
        <v>3.2</v>
      </c>
    </row>
    <row r="67" spans="1:10" s="981" customFormat="1" ht="99.75" hidden="1" customHeight="1">
      <c r="A67" s="1213">
        <v>4</v>
      </c>
      <c r="B67" s="1201" t="e">
        <f>'[8] Abstract'!#REF!</f>
        <v>#REF!</v>
      </c>
      <c r="C67" s="1202"/>
      <c r="D67" s="1202"/>
      <c r="E67" s="1202"/>
      <c r="F67" s="1202"/>
      <c r="G67" s="1202"/>
      <c r="H67" s="1202"/>
      <c r="I67" s="1202"/>
    </row>
    <row r="68" spans="1:10" s="981" customFormat="1" ht="27.75" hidden="1" customHeight="1">
      <c r="A68" s="1213"/>
      <c r="B68" s="1217" t="e">
        <f>'[8] Abstract'!#REF!</f>
        <v>#REF!</v>
      </c>
      <c r="C68" s="1217"/>
      <c r="D68" s="1217"/>
      <c r="E68" s="1217"/>
      <c r="F68" s="1217"/>
      <c r="G68" s="1217"/>
      <c r="H68" s="1217"/>
      <c r="I68" s="1217"/>
    </row>
    <row r="69" spans="1:10" s="981" customFormat="1" ht="15.75" hidden="1" customHeight="1">
      <c r="A69" s="1213"/>
      <c r="B69" s="983" t="s">
        <v>6448</v>
      </c>
      <c r="C69" s="984">
        <v>1</v>
      </c>
      <c r="D69" s="984" t="s">
        <v>6432</v>
      </c>
      <c r="E69" s="984">
        <v>1</v>
      </c>
      <c r="F69" s="985">
        <v>12</v>
      </c>
      <c r="G69" s="985"/>
      <c r="H69" s="985"/>
      <c r="I69" s="985">
        <f>ROUND(PRODUCT(C69:H69),2)</f>
        <v>12</v>
      </c>
    </row>
    <row r="70" spans="1:10" s="981" customFormat="1" ht="15.75" hidden="1" customHeight="1">
      <c r="A70" s="1213"/>
      <c r="B70" s="983"/>
      <c r="C70" s="987"/>
      <c r="D70" s="987"/>
      <c r="E70" s="1203" t="s">
        <v>2245</v>
      </c>
      <c r="F70" s="1203"/>
      <c r="G70" s="1203"/>
      <c r="H70" s="988"/>
      <c r="I70" s="989" t="s">
        <v>1771</v>
      </c>
      <c r="J70" s="981">
        <v>57</v>
      </c>
    </row>
    <row r="71" spans="1:10" s="981" customFormat="1" ht="27.75" hidden="1" customHeight="1">
      <c r="A71" s="1213"/>
      <c r="B71" s="1217" t="e">
        <f>'[8] Abstract'!#REF!</f>
        <v>#REF!</v>
      </c>
      <c r="C71" s="1217"/>
      <c r="D71" s="1217"/>
      <c r="E71" s="1217"/>
      <c r="F71" s="1217"/>
      <c r="G71" s="1217"/>
      <c r="H71" s="1217"/>
      <c r="I71" s="1217"/>
    </row>
    <row r="72" spans="1:10" s="981" customFormat="1" ht="15.75" hidden="1" customHeight="1">
      <c r="A72" s="1213"/>
      <c r="B72" s="983" t="s">
        <v>6449</v>
      </c>
      <c r="C72" s="984">
        <v>1</v>
      </c>
      <c r="D72" s="984" t="s">
        <v>6432</v>
      </c>
      <c r="E72" s="984">
        <v>2</v>
      </c>
      <c r="F72" s="985">
        <v>7</v>
      </c>
      <c r="G72" s="985"/>
      <c r="H72" s="985"/>
      <c r="I72" s="985">
        <f>ROUND(PRODUCT(C72:H72),2)</f>
        <v>14</v>
      </c>
    </row>
    <row r="73" spans="1:10" s="981" customFormat="1" ht="15.75" hidden="1" customHeight="1">
      <c r="A73" s="1213"/>
      <c r="B73" s="983"/>
      <c r="C73" s="987"/>
      <c r="D73" s="987"/>
      <c r="E73" s="1203" t="s">
        <v>2245</v>
      </c>
      <c r="F73" s="1203"/>
      <c r="G73" s="1203"/>
      <c r="H73" s="988"/>
      <c r="I73" s="989" t="s">
        <v>1771</v>
      </c>
      <c r="J73" s="981">
        <v>57</v>
      </c>
    </row>
    <row r="74" spans="1:10" s="981" customFormat="1" ht="27.75" hidden="1" customHeight="1">
      <c r="A74" s="1213"/>
      <c r="B74" s="1217" t="e">
        <f>'[8] Abstract'!#REF!</f>
        <v>#REF!</v>
      </c>
      <c r="C74" s="1217"/>
      <c r="D74" s="1217"/>
      <c r="E74" s="1217"/>
      <c r="F74" s="1217"/>
      <c r="G74" s="1217"/>
      <c r="H74" s="1217"/>
      <c r="I74" s="1217"/>
    </row>
    <row r="75" spans="1:10" s="981" customFormat="1" ht="15.75" hidden="1" customHeight="1">
      <c r="A75" s="1213"/>
      <c r="B75" s="983" t="s">
        <v>6450</v>
      </c>
      <c r="C75" s="984">
        <v>1</v>
      </c>
      <c r="D75" s="984" t="s">
        <v>6432</v>
      </c>
      <c r="E75" s="984">
        <v>2</v>
      </c>
      <c r="F75" s="985">
        <v>8</v>
      </c>
      <c r="G75" s="985"/>
      <c r="H75" s="985"/>
      <c r="I75" s="985">
        <f>ROUND(PRODUCT(C75:H75),2)</f>
        <v>16</v>
      </c>
    </row>
    <row r="76" spans="1:10" s="981" customFormat="1" ht="15.75" hidden="1" customHeight="1">
      <c r="A76" s="1213"/>
      <c r="B76" s="983"/>
      <c r="C76" s="987"/>
      <c r="D76" s="987"/>
      <c r="E76" s="1203" t="s">
        <v>2245</v>
      </c>
      <c r="F76" s="1203"/>
      <c r="G76" s="1203"/>
      <c r="H76" s="988"/>
      <c r="I76" s="989" t="s">
        <v>1771</v>
      </c>
      <c r="J76" s="981">
        <v>57</v>
      </c>
    </row>
    <row r="77" spans="1:10" s="981" customFormat="1" ht="85.5" hidden="1" customHeight="1">
      <c r="A77" s="1216">
        <v>5</v>
      </c>
      <c r="B77" s="1202" t="e">
        <f>'[8] Abstract'!#REF!</f>
        <v>#REF!</v>
      </c>
      <c r="C77" s="1202"/>
      <c r="D77" s="1202"/>
      <c r="E77" s="1202"/>
      <c r="F77" s="1202"/>
      <c r="G77" s="1202"/>
      <c r="H77" s="1202"/>
      <c r="I77" s="1202"/>
    </row>
    <row r="78" spans="1:10" s="981" customFormat="1" ht="16.5" hidden="1" customHeight="1">
      <c r="A78" s="1216"/>
      <c r="B78" s="983" t="s">
        <v>6451</v>
      </c>
      <c r="C78" s="984">
        <v>3</v>
      </c>
      <c r="D78" s="984" t="s">
        <v>6432</v>
      </c>
      <c r="E78" s="984">
        <v>3.14</v>
      </c>
      <c r="F78" s="985">
        <v>0.15</v>
      </c>
      <c r="G78" s="985">
        <v>0.15</v>
      </c>
      <c r="H78" s="985">
        <v>3</v>
      </c>
      <c r="I78" s="985">
        <f>ROUND(PRODUCT(C78:H78),2)</f>
        <v>0.64</v>
      </c>
    </row>
    <row r="79" spans="1:10" s="981" customFormat="1" ht="15" hidden="1" customHeight="1">
      <c r="A79" s="1216"/>
      <c r="B79" s="986" t="s">
        <v>6436</v>
      </c>
      <c r="C79" s="984"/>
      <c r="D79" s="984"/>
      <c r="E79" s="984"/>
      <c r="F79" s="985"/>
      <c r="G79" s="985"/>
      <c r="H79" s="985"/>
      <c r="I79" s="985">
        <v>0.06</v>
      </c>
    </row>
    <row r="80" spans="1:10" s="981" customFormat="1" ht="15.75" hidden="1" customHeight="1">
      <c r="A80" s="1216"/>
      <c r="B80" s="983"/>
      <c r="C80" s="987"/>
      <c r="D80" s="987"/>
      <c r="E80" s="1203" t="s">
        <v>2245</v>
      </c>
      <c r="F80" s="1203"/>
      <c r="G80" s="1203"/>
      <c r="H80" s="988"/>
      <c r="I80" s="989" t="s">
        <v>2151</v>
      </c>
    </row>
    <row r="81" spans="1:11" s="981" customFormat="1" ht="30" hidden="1" customHeight="1">
      <c r="A81" s="1216">
        <v>6</v>
      </c>
      <c r="B81" s="1202" t="e">
        <f>'[8] Abstract'!#REF!</f>
        <v>#REF!</v>
      </c>
      <c r="C81" s="1202"/>
      <c r="D81" s="1202"/>
      <c r="E81" s="1202"/>
      <c r="F81" s="1202"/>
      <c r="G81" s="1202"/>
      <c r="H81" s="1202"/>
      <c r="I81" s="1202"/>
    </row>
    <row r="82" spans="1:11" s="981" customFormat="1" ht="20.25" hidden="1" customHeight="1">
      <c r="A82" s="1216"/>
      <c r="B82" s="983" t="s">
        <v>6452</v>
      </c>
      <c r="C82" s="984">
        <v>1</v>
      </c>
      <c r="D82" s="984" t="s">
        <v>6432</v>
      </c>
      <c r="E82" s="984">
        <v>1</v>
      </c>
      <c r="F82" s="985"/>
      <c r="G82" s="985"/>
      <c r="H82" s="985"/>
      <c r="I82" s="985">
        <f>ROUND(PRODUCT(C82:H82),2)</f>
        <v>1</v>
      </c>
    </row>
    <row r="83" spans="1:11" s="981" customFormat="1" ht="20.25" hidden="1" customHeight="1">
      <c r="A83" s="1216"/>
      <c r="B83" s="983"/>
      <c r="C83" s="987"/>
      <c r="D83" s="987"/>
      <c r="E83" s="1203" t="s">
        <v>2245</v>
      </c>
      <c r="F83" s="1203"/>
      <c r="G83" s="1203"/>
      <c r="H83" s="988"/>
      <c r="I83" s="989" t="s">
        <v>1394</v>
      </c>
      <c r="J83" s="981" t="e">
        <f>'[8]Polur DSP abstract'!B92</f>
        <v>#REF!</v>
      </c>
    </row>
    <row r="84" spans="1:11" s="994" customFormat="1" ht="69.75" hidden="1" customHeight="1">
      <c r="A84" s="990">
        <v>3</v>
      </c>
      <c r="B84" s="1214" t="s">
        <v>6453</v>
      </c>
      <c r="C84" s="1214"/>
      <c r="D84" s="1214"/>
      <c r="E84" s="1214"/>
      <c r="F84" s="991"/>
      <c r="G84" s="991"/>
      <c r="H84" s="992"/>
      <c r="I84" s="993"/>
    </row>
    <row r="85" spans="1:11" s="994" customFormat="1" ht="38.25" hidden="1" customHeight="1">
      <c r="A85" s="995"/>
      <c r="B85" s="996" t="s">
        <v>6454</v>
      </c>
      <c r="C85" s="995">
        <v>1</v>
      </c>
      <c r="D85" s="995" t="s">
        <v>6432</v>
      </c>
      <c r="E85" s="995">
        <v>2</v>
      </c>
      <c r="F85" s="997">
        <v>12</v>
      </c>
      <c r="G85" s="997">
        <v>0.6</v>
      </c>
      <c r="H85" s="997"/>
      <c r="I85" s="998">
        <f>PRODUCT(C85:H85)</f>
        <v>14.4</v>
      </c>
      <c r="J85" s="999"/>
    </row>
    <row r="86" spans="1:11" s="994" customFormat="1" ht="30" hidden="1" customHeight="1">
      <c r="A86" s="995"/>
      <c r="B86" s="996"/>
      <c r="C86" s="995"/>
      <c r="D86" s="995"/>
      <c r="E86" s="995"/>
      <c r="F86" s="997"/>
      <c r="G86" s="1000" t="s">
        <v>2245</v>
      </c>
      <c r="H86" s="1001"/>
      <c r="I86" s="1002" t="s">
        <v>2283</v>
      </c>
    </row>
    <row r="87" spans="1:11" s="947" customFormat="1" ht="47.25" customHeight="1">
      <c r="A87" s="1088">
        <v>10</v>
      </c>
      <c r="B87" s="1196" t="s">
        <v>6599</v>
      </c>
      <c r="C87" s="1196"/>
      <c r="D87" s="1196"/>
      <c r="E87" s="1196"/>
      <c r="F87" s="1196"/>
      <c r="G87" s="1196"/>
      <c r="H87" s="1196"/>
      <c r="I87" s="1196"/>
      <c r="K87" s="1003"/>
    </row>
    <row r="88" spans="1:11" s="1004" customFormat="1" ht="15.75">
      <c r="A88" s="1088"/>
      <c r="B88" s="958" t="s">
        <v>6445</v>
      </c>
      <c r="C88" s="952">
        <v>1</v>
      </c>
      <c r="D88" s="952" t="s">
        <v>6432</v>
      </c>
      <c r="E88" s="952">
        <v>1</v>
      </c>
      <c r="F88" s="959">
        <v>3.1</v>
      </c>
      <c r="G88" s="959">
        <v>3.35</v>
      </c>
      <c r="H88" s="959"/>
      <c r="I88" s="959">
        <f t="shared" ref="I88:I103" si="0">ROUND(PRODUCT(C88:H88),2)</f>
        <v>10.39</v>
      </c>
    </row>
    <row r="89" spans="1:11" s="1004" customFormat="1" ht="15.75">
      <c r="A89" s="1088"/>
      <c r="B89" s="958" t="s">
        <v>6455</v>
      </c>
      <c r="C89" s="952">
        <v>1</v>
      </c>
      <c r="D89" s="952" t="s">
        <v>6432</v>
      </c>
      <c r="E89" s="952">
        <v>1</v>
      </c>
      <c r="F89" s="959">
        <v>3.1</v>
      </c>
      <c r="G89" s="959">
        <v>5.45</v>
      </c>
      <c r="H89" s="959"/>
      <c r="I89" s="959">
        <f t="shared" si="0"/>
        <v>16.899999999999999</v>
      </c>
    </row>
    <row r="90" spans="1:11" s="1004" customFormat="1" ht="15.75">
      <c r="A90" s="1088"/>
      <c r="B90" s="958" t="s">
        <v>6456</v>
      </c>
      <c r="C90" s="952">
        <v>1</v>
      </c>
      <c r="D90" s="952" t="s">
        <v>6432</v>
      </c>
      <c r="E90" s="952">
        <v>1</v>
      </c>
      <c r="F90" s="959">
        <v>2.2999999999999998</v>
      </c>
      <c r="G90" s="959">
        <v>5.6</v>
      </c>
      <c r="H90" s="959"/>
      <c r="I90" s="959">
        <f t="shared" si="0"/>
        <v>12.88</v>
      </c>
    </row>
    <row r="91" spans="1:11" s="1004" customFormat="1" ht="15.75">
      <c r="A91" s="1088"/>
      <c r="B91" s="963" t="s">
        <v>6457</v>
      </c>
      <c r="C91" s="952">
        <v>1</v>
      </c>
      <c r="D91" s="952" t="s">
        <v>6432</v>
      </c>
      <c r="E91" s="952">
        <v>1</v>
      </c>
      <c r="F91" s="959">
        <v>5</v>
      </c>
      <c r="G91" s="959">
        <v>3.6</v>
      </c>
      <c r="H91" s="959"/>
      <c r="I91" s="959">
        <f t="shared" si="0"/>
        <v>18</v>
      </c>
    </row>
    <row r="92" spans="1:11" s="1004" customFormat="1" ht="15.75">
      <c r="A92" s="1088"/>
      <c r="B92" s="958" t="s">
        <v>6446</v>
      </c>
      <c r="C92" s="952">
        <v>1</v>
      </c>
      <c r="D92" s="952" t="s">
        <v>6432</v>
      </c>
      <c r="E92" s="952">
        <v>1</v>
      </c>
      <c r="F92" s="959">
        <v>4.75</v>
      </c>
      <c r="G92" s="959">
        <v>3.6</v>
      </c>
      <c r="H92" s="959"/>
      <c r="I92" s="959">
        <f t="shared" si="0"/>
        <v>17.100000000000001</v>
      </c>
    </row>
    <row r="93" spans="1:11" s="1004" customFormat="1" ht="15.75">
      <c r="A93" s="1088"/>
      <c r="B93" s="963" t="s">
        <v>6458</v>
      </c>
      <c r="C93" s="952">
        <v>1</v>
      </c>
      <c r="D93" s="952" t="s">
        <v>6432</v>
      </c>
      <c r="E93" s="952">
        <v>1</v>
      </c>
      <c r="F93" s="959">
        <v>0.9</v>
      </c>
      <c r="G93" s="959">
        <v>2.2200000000000002</v>
      </c>
      <c r="H93" s="959"/>
      <c r="I93" s="959">
        <f t="shared" si="0"/>
        <v>2</v>
      </c>
    </row>
    <row r="94" spans="1:11" s="1004" customFormat="1" ht="15.75">
      <c r="A94" s="1088"/>
      <c r="B94" s="958" t="s">
        <v>6459</v>
      </c>
      <c r="C94" s="952">
        <v>1</v>
      </c>
      <c r="D94" s="952" t="s">
        <v>6432</v>
      </c>
      <c r="E94" s="952">
        <v>1</v>
      </c>
      <c r="F94" s="959">
        <v>3</v>
      </c>
      <c r="G94" s="959">
        <v>2.5</v>
      </c>
      <c r="H94" s="959"/>
      <c r="I94" s="959">
        <f t="shared" si="0"/>
        <v>7.5</v>
      </c>
    </row>
    <row r="95" spans="1:11" s="1004" customFormat="1" ht="15.75">
      <c r="A95" s="1088"/>
      <c r="B95" s="958"/>
      <c r="C95" s="952"/>
      <c r="D95" s="952"/>
      <c r="E95" s="1087" t="s">
        <v>2245</v>
      </c>
      <c r="F95" s="1087"/>
      <c r="G95" s="1087"/>
      <c r="H95" s="960">
        <f>ROUND(SUM(I88:I94),2)</f>
        <v>84.77</v>
      </c>
      <c r="I95" s="962" t="s">
        <v>2283</v>
      </c>
    </row>
    <row r="96" spans="1:11" s="1004" customFormat="1" ht="53.25" customHeight="1">
      <c r="A96" s="1088">
        <f>A87+1</f>
        <v>11</v>
      </c>
      <c r="B96" s="1196" t="s">
        <v>6600</v>
      </c>
      <c r="C96" s="1196"/>
      <c r="D96" s="1196"/>
      <c r="E96" s="1196"/>
      <c r="F96" s="1196"/>
      <c r="G96" s="1196"/>
      <c r="H96" s="1196"/>
      <c r="I96" s="1196"/>
    </row>
    <row r="97" spans="1:11" s="1004" customFormat="1" ht="15.75">
      <c r="A97" s="1088"/>
      <c r="B97" s="963" t="s">
        <v>6460</v>
      </c>
      <c r="C97" s="952">
        <v>1</v>
      </c>
      <c r="D97" s="952" t="s">
        <v>6432</v>
      </c>
      <c r="E97" s="952">
        <v>1</v>
      </c>
      <c r="F97" s="959">
        <v>3</v>
      </c>
      <c r="G97" s="959">
        <v>3</v>
      </c>
      <c r="H97" s="959"/>
      <c r="I97" s="959">
        <f t="shared" si="0"/>
        <v>9</v>
      </c>
    </row>
    <row r="98" spans="1:11" s="1004" customFormat="1" ht="15.75">
      <c r="A98" s="1088"/>
      <c r="B98" s="963" t="s">
        <v>6373</v>
      </c>
      <c r="C98" s="952">
        <v>1</v>
      </c>
      <c r="D98" s="952" t="s">
        <v>6432</v>
      </c>
      <c r="E98" s="952">
        <v>1</v>
      </c>
      <c r="F98" s="959">
        <v>1.45</v>
      </c>
      <c r="G98" s="959">
        <v>1.6</v>
      </c>
      <c r="H98" s="959"/>
      <c r="I98" s="959">
        <f t="shared" si="0"/>
        <v>2.3199999999999998</v>
      </c>
    </row>
    <row r="99" spans="1:11" s="1004" customFormat="1" ht="15.75">
      <c r="A99" s="1088"/>
      <c r="B99" s="958" t="s">
        <v>6461</v>
      </c>
      <c r="C99" s="952">
        <v>1</v>
      </c>
      <c r="D99" s="952" t="s">
        <v>6432</v>
      </c>
      <c r="E99" s="952">
        <v>1</v>
      </c>
      <c r="F99" s="959">
        <v>3</v>
      </c>
      <c r="G99" s="959">
        <v>3.35</v>
      </c>
      <c r="H99" s="959"/>
      <c r="I99" s="959">
        <f t="shared" si="0"/>
        <v>10.050000000000001</v>
      </c>
    </row>
    <row r="100" spans="1:11" s="1004" customFormat="1" ht="15.75">
      <c r="A100" s="1088"/>
      <c r="B100" s="963" t="s">
        <v>6373</v>
      </c>
      <c r="C100" s="952">
        <v>1</v>
      </c>
      <c r="D100" s="952" t="s">
        <v>6432</v>
      </c>
      <c r="E100" s="952">
        <v>1</v>
      </c>
      <c r="F100" s="959">
        <v>1.45</v>
      </c>
      <c r="G100" s="959">
        <v>1.6</v>
      </c>
      <c r="H100" s="959"/>
      <c r="I100" s="959">
        <f t="shared" si="0"/>
        <v>2.3199999999999998</v>
      </c>
    </row>
    <row r="101" spans="1:11" s="1004" customFormat="1" ht="15.75">
      <c r="A101" s="1088"/>
      <c r="B101" s="958" t="s">
        <v>6325</v>
      </c>
      <c r="C101" s="952">
        <v>1</v>
      </c>
      <c r="D101" s="952" t="s">
        <v>6432</v>
      </c>
      <c r="E101" s="952">
        <v>1</v>
      </c>
      <c r="F101" s="959">
        <v>5.95</v>
      </c>
      <c r="G101" s="959">
        <v>3.35</v>
      </c>
      <c r="H101" s="959"/>
      <c r="I101" s="959">
        <f t="shared" si="0"/>
        <v>19.93</v>
      </c>
    </row>
    <row r="102" spans="1:11" s="1004" customFormat="1" ht="15.75">
      <c r="A102" s="1088"/>
      <c r="B102" s="963" t="s">
        <v>6462</v>
      </c>
      <c r="C102" s="952">
        <v>1</v>
      </c>
      <c r="D102" s="952" t="s">
        <v>6432</v>
      </c>
      <c r="E102" s="952">
        <v>1</v>
      </c>
      <c r="F102" s="959">
        <v>5.95</v>
      </c>
      <c r="G102" s="959">
        <v>7.05</v>
      </c>
      <c r="H102" s="959"/>
      <c r="I102" s="959">
        <f t="shared" si="0"/>
        <v>41.95</v>
      </c>
    </row>
    <row r="103" spans="1:11" s="1004" customFormat="1" ht="15.75">
      <c r="A103" s="1088"/>
      <c r="B103" s="958" t="s">
        <v>6463</v>
      </c>
      <c r="C103" s="952">
        <v>1</v>
      </c>
      <c r="D103" s="952" t="s">
        <v>6432</v>
      </c>
      <c r="E103" s="952">
        <v>1</v>
      </c>
      <c r="F103" s="959">
        <v>5.95</v>
      </c>
      <c r="G103" s="959">
        <v>2</v>
      </c>
      <c r="H103" s="959"/>
      <c r="I103" s="959">
        <f t="shared" si="0"/>
        <v>11.9</v>
      </c>
    </row>
    <row r="104" spans="1:11" s="1038" customFormat="1" ht="18.75" customHeight="1">
      <c r="A104" s="1039"/>
      <c r="B104" s="1037" t="s">
        <v>6571</v>
      </c>
      <c r="C104" s="952">
        <v>1</v>
      </c>
      <c r="D104" s="952" t="s">
        <v>6432</v>
      </c>
      <c r="E104" s="952">
        <v>1</v>
      </c>
      <c r="F104" s="959">
        <f>2*(2.67+2.45)</f>
        <v>10.24</v>
      </c>
      <c r="G104" s="959"/>
      <c r="H104" s="959">
        <v>1.2</v>
      </c>
      <c r="I104" s="959">
        <f>ROUND(PRODUCT(C104:H104),2)</f>
        <v>12.29</v>
      </c>
    </row>
    <row r="105" spans="1:11" s="1038" customFormat="1" ht="15.75">
      <c r="A105" s="1039"/>
      <c r="B105" s="1037" t="s">
        <v>3956</v>
      </c>
      <c r="C105" s="952">
        <v>1</v>
      </c>
      <c r="D105" s="952" t="s">
        <v>6432</v>
      </c>
      <c r="E105" s="952">
        <v>1</v>
      </c>
      <c r="F105" s="959">
        <v>2.67</v>
      </c>
      <c r="G105" s="959">
        <v>2.4500000000000002</v>
      </c>
      <c r="H105" s="959"/>
      <c r="I105" s="959">
        <f>ROUND(PRODUCT(C105:H105),2)</f>
        <v>6.54</v>
      </c>
    </row>
    <row r="106" spans="1:11" s="947" customFormat="1">
      <c r="A106" s="1088"/>
      <c r="B106" s="963" t="s">
        <v>6436</v>
      </c>
      <c r="C106" s="952"/>
      <c r="D106" s="952"/>
      <c r="E106" s="952"/>
      <c r="F106" s="959"/>
      <c r="G106" s="959"/>
      <c r="H106" s="959"/>
      <c r="I106" s="959">
        <v>0.06</v>
      </c>
    </row>
    <row r="107" spans="1:11" s="947" customFormat="1" ht="29.25" customHeight="1">
      <c r="A107" s="1088"/>
      <c r="B107" s="958"/>
      <c r="C107" s="964"/>
      <c r="D107" s="964"/>
      <c r="E107" s="1087" t="s">
        <v>2245</v>
      </c>
      <c r="F107" s="1087"/>
      <c r="G107" s="1087"/>
      <c r="H107" s="960">
        <f>ROUND(SUM(I97:I106),2)</f>
        <v>116.36</v>
      </c>
      <c r="I107" s="962" t="s">
        <v>2283</v>
      </c>
      <c r="J107" s="947">
        <v>18</v>
      </c>
    </row>
    <row r="108" spans="1:11" s="981" customFormat="1" ht="88.5" hidden="1" customHeight="1">
      <c r="A108" s="1200">
        <v>8</v>
      </c>
      <c r="B108" s="1202" t="e">
        <f>'[8] Abstract'!#REF!</f>
        <v>#REF!</v>
      </c>
      <c r="C108" s="1202"/>
      <c r="D108" s="1202"/>
      <c r="E108" s="1202"/>
      <c r="F108" s="1202"/>
      <c r="G108" s="1202"/>
      <c r="H108" s="1202"/>
      <c r="I108" s="1202"/>
      <c r="K108" s="982"/>
    </row>
    <row r="109" spans="1:11" s="981" customFormat="1" ht="24" hidden="1" customHeight="1">
      <c r="A109" s="1200"/>
      <c r="B109" s="1215" t="e">
        <f>'[8] Abstract'!#REF!</f>
        <v>#REF!</v>
      </c>
      <c r="C109" s="1215"/>
      <c r="D109" s="1215"/>
      <c r="E109" s="1215"/>
      <c r="F109" s="1215"/>
      <c r="G109" s="1215"/>
      <c r="H109" s="1215"/>
      <c r="I109" s="1215"/>
      <c r="K109" s="1007"/>
    </row>
    <row r="110" spans="1:11" s="981" customFormat="1" ht="26.25" hidden="1" customHeight="1">
      <c r="A110" s="1200"/>
      <c r="B110" s="986" t="s">
        <v>6465</v>
      </c>
      <c r="C110" s="984">
        <v>1</v>
      </c>
      <c r="D110" s="984" t="s">
        <v>6432</v>
      </c>
      <c r="E110" s="984">
        <v>3</v>
      </c>
      <c r="F110" s="985">
        <v>3.14</v>
      </c>
      <c r="G110" s="985">
        <v>0.3</v>
      </c>
      <c r="H110" s="985">
        <v>3</v>
      </c>
      <c r="I110" s="985">
        <f>ROUND(PRODUCT(C110:H110),2)</f>
        <v>8.48</v>
      </c>
    </row>
    <row r="111" spans="1:11" s="981" customFormat="1" ht="15.75" hidden="1" customHeight="1">
      <c r="A111" s="1200"/>
      <c r="B111" s="986" t="s">
        <v>6436</v>
      </c>
      <c r="C111" s="984"/>
      <c r="D111" s="984"/>
      <c r="E111" s="984"/>
      <c r="F111" s="985"/>
      <c r="G111" s="985"/>
      <c r="H111" s="985"/>
      <c r="I111" s="985">
        <v>0.02</v>
      </c>
    </row>
    <row r="112" spans="1:11" s="981" customFormat="1" ht="24.75" hidden="1" customHeight="1">
      <c r="A112" s="1200"/>
      <c r="B112" s="983"/>
      <c r="C112" s="987"/>
      <c r="D112" s="987"/>
      <c r="E112" s="1203" t="s">
        <v>2245</v>
      </c>
      <c r="F112" s="1203"/>
      <c r="G112" s="1203"/>
      <c r="H112" s="988"/>
      <c r="I112" s="989" t="s">
        <v>2283</v>
      </c>
      <c r="J112" s="981">
        <v>18</v>
      </c>
    </row>
    <row r="113" spans="1:11" s="1010" customFormat="1" ht="50.25" hidden="1" customHeight="1">
      <c r="A113" s="1008">
        <v>9</v>
      </c>
      <c r="B113" s="1212" t="s">
        <v>6466</v>
      </c>
      <c r="C113" s="1212"/>
      <c r="D113" s="1212"/>
      <c r="E113" s="1212"/>
      <c r="F113" s="1212"/>
      <c r="G113" s="1212"/>
      <c r="H113" s="1212"/>
      <c r="I113" s="1212"/>
      <c r="J113" s="1009"/>
    </row>
    <row r="114" spans="1:11" s="1010" customFormat="1" ht="25.5" hidden="1" customHeight="1">
      <c r="A114" s="1011"/>
      <c r="B114" s="1093" t="s">
        <v>6467</v>
      </c>
      <c r="C114" s="1008"/>
      <c r="D114" s="1008"/>
      <c r="E114" s="1008"/>
      <c r="F114" s="1012">
        <f>H80</f>
        <v>0</v>
      </c>
      <c r="G114" s="1013" t="s">
        <v>6468</v>
      </c>
      <c r="H114" s="1012">
        <v>150</v>
      </c>
      <c r="I114" s="1014">
        <f>ROUND(PRODUCT(B114:H114),2)</f>
        <v>0</v>
      </c>
      <c r="J114" s="1009"/>
    </row>
    <row r="115" spans="1:11" s="1010" customFormat="1" ht="15" hidden="1">
      <c r="A115" s="1011"/>
      <c r="B115" s="1093"/>
      <c r="C115" s="1008"/>
      <c r="D115" s="1008"/>
      <c r="E115" s="1008"/>
      <c r="F115" s="1012"/>
      <c r="G115" s="1012"/>
      <c r="H115" s="1012"/>
      <c r="I115" s="1014"/>
      <c r="J115" s="1009"/>
    </row>
    <row r="116" spans="1:11" s="1010" customFormat="1" ht="15" hidden="1">
      <c r="A116" s="1011"/>
      <c r="B116" s="1093"/>
      <c r="C116" s="1008"/>
      <c r="D116" s="1008"/>
      <c r="E116" s="1008"/>
      <c r="F116" s="1008"/>
      <c r="G116" s="1008"/>
      <c r="H116" s="1015" t="s">
        <v>2245</v>
      </c>
      <c r="I116" s="1014">
        <f>I114/1000</f>
        <v>0</v>
      </c>
      <c r="J116" s="1016" t="s">
        <v>528</v>
      </c>
    </row>
    <row r="117" spans="1:11" s="1010" customFormat="1" ht="15" hidden="1">
      <c r="A117" s="1011"/>
      <c r="B117" s="1093"/>
      <c r="C117" s="1008"/>
      <c r="D117" s="1008"/>
      <c r="E117" s="1008"/>
      <c r="F117" s="1008"/>
      <c r="G117" s="1008"/>
      <c r="H117" s="1012"/>
      <c r="I117" s="1014"/>
      <c r="J117" s="1009"/>
    </row>
    <row r="118" spans="1:11" s="981" customFormat="1" ht="75" hidden="1" customHeight="1">
      <c r="A118" s="1213">
        <v>33</v>
      </c>
      <c r="B118" s="1202" t="str">
        <f>'[8]AR Police Qtrs'!C87</f>
        <v>Supply, assembling and fixing of patty type fluorescent tubular lamp with fitting of four feet long ordinary patti, electronic ballast, slim tube light of 36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
      <c r="C118" s="1202"/>
      <c r="D118" s="1202"/>
      <c r="E118" s="1202"/>
      <c r="F118" s="1202"/>
      <c r="G118" s="1202"/>
      <c r="H118" s="1202"/>
      <c r="I118" s="1202"/>
    </row>
    <row r="119" spans="1:11" s="981" customFormat="1" hidden="1">
      <c r="A119" s="1213"/>
      <c r="B119" s="983" t="s">
        <v>6469</v>
      </c>
      <c r="C119" s="984">
        <v>1</v>
      </c>
      <c r="D119" s="984" t="s">
        <v>6432</v>
      </c>
      <c r="E119" s="984">
        <v>3</v>
      </c>
      <c r="F119" s="985"/>
      <c r="G119" s="985"/>
      <c r="H119" s="985"/>
      <c r="I119" s="985">
        <f t="shared" ref="I119:I126" si="1">ROUND(PRODUCT(C119:H119),2)</f>
        <v>3</v>
      </c>
    </row>
    <row r="120" spans="1:11" s="981" customFormat="1" hidden="1">
      <c r="A120" s="1213"/>
      <c r="B120" s="983" t="s">
        <v>6470</v>
      </c>
      <c r="C120" s="984">
        <v>1</v>
      </c>
      <c r="D120" s="984" t="s">
        <v>6432</v>
      </c>
      <c r="E120" s="984">
        <v>5</v>
      </c>
      <c r="F120" s="985"/>
      <c r="G120" s="985"/>
      <c r="H120" s="985"/>
      <c r="I120" s="985">
        <f t="shared" si="1"/>
        <v>5</v>
      </c>
    </row>
    <row r="121" spans="1:11" s="981" customFormat="1" hidden="1">
      <c r="A121" s="1213"/>
      <c r="B121" s="983" t="s">
        <v>6471</v>
      </c>
      <c r="C121" s="984">
        <v>1</v>
      </c>
      <c r="D121" s="984" t="s">
        <v>6432</v>
      </c>
      <c r="E121" s="984">
        <v>4</v>
      </c>
      <c r="F121" s="985"/>
      <c r="G121" s="985"/>
      <c r="H121" s="985"/>
      <c r="I121" s="985">
        <f t="shared" si="1"/>
        <v>4</v>
      </c>
    </row>
    <row r="122" spans="1:11" s="981" customFormat="1" hidden="1">
      <c r="A122" s="1213"/>
      <c r="B122" s="983" t="s">
        <v>6472</v>
      </c>
      <c r="C122" s="984">
        <v>1</v>
      </c>
      <c r="D122" s="984" t="s">
        <v>6432</v>
      </c>
      <c r="E122" s="984">
        <v>6</v>
      </c>
      <c r="F122" s="985"/>
      <c r="G122" s="985"/>
      <c r="H122" s="985"/>
      <c r="I122" s="985">
        <f t="shared" si="1"/>
        <v>6</v>
      </c>
    </row>
    <row r="123" spans="1:11" s="981" customFormat="1" hidden="1">
      <c r="A123" s="1213"/>
      <c r="B123" s="983" t="s">
        <v>6473</v>
      </c>
      <c r="C123" s="984">
        <v>1</v>
      </c>
      <c r="D123" s="984" t="s">
        <v>6432</v>
      </c>
      <c r="E123" s="984">
        <v>4</v>
      </c>
      <c r="F123" s="985"/>
      <c r="G123" s="985"/>
      <c r="H123" s="985"/>
      <c r="I123" s="985">
        <f t="shared" si="1"/>
        <v>4</v>
      </c>
    </row>
    <row r="124" spans="1:11" s="981" customFormat="1" hidden="1">
      <c r="A124" s="1213"/>
      <c r="B124" s="983" t="s">
        <v>6474</v>
      </c>
      <c r="C124" s="984">
        <v>1</v>
      </c>
      <c r="D124" s="984" t="s">
        <v>6432</v>
      </c>
      <c r="E124" s="984">
        <v>6</v>
      </c>
      <c r="F124" s="985"/>
      <c r="G124" s="985"/>
      <c r="H124" s="985"/>
      <c r="I124" s="985">
        <f t="shared" si="1"/>
        <v>6</v>
      </c>
    </row>
    <row r="125" spans="1:11" s="981" customFormat="1" hidden="1">
      <c r="A125" s="1213"/>
      <c r="B125" s="983" t="s">
        <v>6475</v>
      </c>
      <c r="C125" s="984">
        <v>1</v>
      </c>
      <c r="D125" s="984" t="s">
        <v>6432</v>
      </c>
      <c r="E125" s="984">
        <v>4</v>
      </c>
      <c r="F125" s="985"/>
      <c r="G125" s="985"/>
      <c r="H125" s="985"/>
      <c r="I125" s="985">
        <f t="shared" si="1"/>
        <v>4</v>
      </c>
    </row>
    <row r="126" spans="1:11" s="981" customFormat="1" hidden="1">
      <c r="A126" s="1213"/>
      <c r="B126" s="983" t="s">
        <v>6476</v>
      </c>
      <c r="C126" s="984">
        <v>1</v>
      </c>
      <c r="D126" s="984" t="s">
        <v>6432</v>
      </c>
      <c r="E126" s="984">
        <v>4</v>
      </c>
      <c r="F126" s="985"/>
      <c r="G126" s="985"/>
      <c r="H126" s="985"/>
      <c r="I126" s="985">
        <f t="shared" si="1"/>
        <v>4</v>
      </c>
    </row>
    <row r="127" spans="1:11" s="981" customFormat="1" hidden="1">
      <c r="A127" s="1213"/>
      <c r="B127" s="983"/>
      <c r="C127" s="987"/>
      <c r="D127" s="987"/>
      <c r="E127" s="1203" t="s">
        <v>2245</v>
      </c>
      <c r="F127" s="1203"/>
      <c r="G127" s="1203"/>
      <c r="H127" s="988">
        <f>SUM(I119:I126)</f>
        <v>36</v>
      </c>
      <c r="I127" s="989" t="s">
        <v>1394</v>
      </c>
      <c r="J127" s="981">
        <v>13</v>
      </c>
      <c r="K127" s="982"/>
    </row>
    <row r="128" spans="1:11" s="981" customFormat="1" ht="78" hidden="1" customHeight="1">
      <c r="A128" s="1200">
        <v>34</v>
      </c>
      <c r="B128" s="1202" t="str">
        <f>'[8]AR Police Qtrs'!C88</f>
        <v>Supply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insuitable sheet steel enclosure confirming to IS 12640/1988. Including cost of ELCB/RCCB on fully concealed suitable MS box with necessary inter connections and earth connections using copper cable including cost of all materials etc., all complete.</v>
      </c>
      <c r="C128" s="1202"/>
      <c r="D128" s="1202"/>
      <c r="E128" s="1202"/>
      <c r="F128" s="1202"/>
      <c r="G128" s="1202"/>
      <c r="H128" s="1202"/>
      <c r="I128" s="1202"/>
      <c r="K128" s="982"/>
    </row>
    <row r="129" spans="1:11" s="981" customFormat="1" hidden="1">
      <c r="A129" s="1200"/>
      <c r="B129" s="983" t="s">
        <v>6469</v>
      </c>
      <c r="C129" s="984">
        <v>1</v>
      </c>
      <c r="D129" s="984" t="s">
        <v>6432</v>
      </c>
      <c r="E129" s="984">
        <v>1</v>
      </c>
      <c r="F129" s="985"/>
      <c r="G129" s="985"/>
      <c r="H129" s="985"/>
      <c r="I129" s="985">
        <f>ROUND(PRODUCT(C129:H129),2)</f>
        <v>1</v>
      </c>
    </row>
    <row r="130" spans="1:11" s="981" customFormat="1" hidden="1">
      <c r="A130" s="1200"/>
      <c r="B130" s="983" t="s">
        <v>6470</v>
      </c>
      <c r="C130" s="984">
        <v>1</v>
      </c>
      <c r="D130" s="984" t="s">
        <v>6432</v>
      </c>
      <c r="E130" s="984">
        <v>1</v>
      </c>
      <c r="F130" s="985"/>
      <c r="G130" s="985"/>
      <c r="H130" s="985"/>
      <c r="I130" s="985">
        <f>ROUND(PRODUCT(C130:H130),2)</f>
        <v>1</v>
      </c>
    </row>
    <row r="131" spans="1:11" s="981" customFormat="1" hidden="1">
      <c r="A131" s="1200"/>
      <c r="B131" s="983" t="s">
        <v>6472</v>
      </c>
      <c r="C131" s="984">
        <v>1</v>
      </c>
      <c r="D131" s="984" t="s">
        <v>6432</v>
      </c>
      <c r="E131" s="984">
        <v>1</v>
      </c>
      <c r="F131" s="985"/>
      <c r="G131" s="985"/>
      <c r="H131" s="985"/>
      <c r="I131" s="985">
        <f>ROUND(PRODUCT(C131:H131),2)</f>
        <v>1</v>
      </c>
    </row>
    <row r="132" spans="1:11" s="981" customFormat="1" hidden="1">
      <c r="A132" s="1200"/>
      <c r="B132" s="983"/>
      <c r="C132" s="987"/>
      <c r="D132" s="987"/>
      <c r="E132" s="1203" t="s">
        <v>2245</v>
      </c>
      <c r="F132" s="1203"/>
      <c r="G132" s="1203"/>
      <c r="H132" s="988">
        <f>SUM(I127:I131)</f>
        <v>3</v>
      </c>
      <c r="I132" s="989" t="s">
        <v>1394</v>
      </c>
      <c r="J132" s="981">
        <v>3</v>
      </c>
      <c r="K132" s="982"/>
    </row>
    <row r="133" spans="1:11" s="981" customFormat="1" ht="76.5" hidden="1" customHeight="1">
      <c r="A133" s="1200">
        <v>35</v>
      </c>
      <c r="B133" s="1202" t="str">
        <f>'[8]AR Police Qtrs'!C88</f>
        <v>Supply and fixing of electro mechanically operated three phase earth leakage circuit breaker/residual current circuit breaker (ELCB/RCCB) combined with over load and short circuit protection having a rupturing capacity of 6 KA with 30 milli amps fixed setting sensitivity and rates for 25 A insuitable sheet steel enclosure confirming to IS 12640/1988. Including cost of ELCB/RCCB on fully concealed suitable MS box with necessary inter connections and earth connections using copper cable including cost of all materials etc., all complete.</v>
      </c>
      <c r="C133" s="1202"/>
      <c r="D133" s="1202"/>
      <c r="E133" s="1202"/>
      <c r="F133" s="1202"/>
      <c r="G133" s="1202"/>
      <c r="H133" s="1202"/>
      <c r="I133" s="1202"/>
      <c r="K133" s="982"/>
    </row>
    <row r="134" spans="1:11" s="981" customFormat="1" hidden="1">
      <c r="A134" s="1200"/>
      <c r="B134" s="983" t="s">
        <v>6469</v>
      </c>
      <c r="C134" s="984">
        <v>1</v>
      </c>
      <c r="D134" s="984" t="s">
        <v>6432</v>
      </c>
      <c r="E134" s="984">
        <v>1</v>
      </c>
      <c r="F134" s="985"/>
      <c r="G134" s="985"/>
      <c r="H134" s="985"/>
      <c r="I134" s="985">
        <f>ROUND(PRODUCT(C134:H134),2)</f>
        <v>1</v>
      </c>
    </row>
    <row r="135" spans="1:11" s="981" customFormat="1" hidden="1">
      <c r="A135" s="1200"/>
      <c r="B135" s="983" t="s">
        <v>6470</v>
      </c>
      <c r="C135" s="984">
        <v>1</v>
      </c>
      <c r="D135" s="984" t="s">
        <v>6432</v>
      </c>
      <c r="E135" s="984">
        <v>1</v>
      </c>
      <c r="F135" s="985"/>
      <c r="G135" s="985"/>
      <c r="H135" s="985"/>
      <c r="I135" s="985">
        <f>ROUND(PRODUCT(C135:H135),2)</f>
        <v>1</v>
      </c>
    </row>
    <row r="136" spans="1:11" s="981" customFormat="1" hidden="1">
      <c r="A136" s="1200"/>
      <c r="B136" s="983" t="s">
        <v>6472</v>
      </c>
      <c r="C136" s="984">
        <v>1</v>
      </c>
      <c r="D136" s="984" t="s">
        <v>6432</v>
      </c>
      <c r="E136" s="984">
        <v>1</v>
      </c>
      <c r="F136" s="985"/>
      <c r="G136" s="985"/>
      <c r="H136" s="985"/>
      <c r="I136" s="985">
        <f>ROUND(PRODUCT(C136:H136),2)</f>
        <v>1</v>
      </c>
    </row>
    <row r="137" spans="1:11" s="981" customFormat="1" hidden="1">
      <c r="A137" s="1200"/>
      <c r="B137" s="983"/>
      <c r="C137" s="987"/>
      <c r="D137" s="987"/>
      <c r="E137" s="1203" t="s">
        <v>2245</v>
      </c>
      <c r="F137" s="1203"/>
      <c r="G137" s="1203"/>
      <c r="H137" s="988">
        <f>SUM(I127:I136)</f>
        <v>6</v>
      </c>
      <c r="I137" s="989" t="s">
        <v>1394</v>
      </c>
      <c r="J137" s="981">
        <v>3</v>
      </c>
      <c r="K137" s="982"/>
    </row>
    <row r="138" spans="1:11" s="981" customFormat="1" ht="27" hidden="1" customHeight="1">
      <c r="A138" s="1200">
        <v>36</v>
      </c>
      <c r="B138" s="1201" t="str">
        <f>'[8]AR Police Qtrs'!C89</f>
        <v>Supplying and fixing of Fan Regulator etc complete.</v>
      </c>
      <c r="C138" s="1202"/>
      <c r="D138" s="1202"/>
      <c r="E138" s="1202"/>
      <c r="F138" s="1202"/>
      <c r="G138" s="1202"/>
      <c r="H138" s="1202"/>
      <c r="I138" s="1202"/>
      <c r="K138" s="982"/>
    </row>
    <row r="139" spans="1:11" s="981" customFormat="1" hidden="1">
      <c r="A139" s="1200"/>
      <c r="B139" s="983" t="s">
        <v>6469</v>
      </c>
      <c r="C139" s="984">
        <v>1</v>
      </c>
      <c r="D139" s="984" t="s">
        <v>6432</v>
      </c>
      <c r="E139" s="984">
        <v>1</v>
      </c>
      <c r="F139" s="985"/>
      <c r="G139" s="985"/>
      <c r="H139" s="985"/>
      <c r="I139" s="985">
        <f t="shared" ref="I139:I145" si="2">ROUND(PRODUCT(C139:H139),2)</f>
        <v>1</v>
      </c>
    </row>
    <row r="140" spans="1:11" s="981" customFormat="1" hidden="1">
      <c r="A140" s="1200"/>
      <c r="B140" s="983" t="s">
        <v>6470</v>
      </c>
      <c r="C140" s="984">
        <v>1</v>
      </c>
      <c r="D140" s="984" t="s">
        <v>6432</v>
      </c>
      <c r="E140" s="984">
        <v>1</v>
      </c>
      <c r="F140" s="985"/>
      <c r="G140" s="985"/>
      <c r="H140" s="985"/>
      <c r="I140" s="985">
        <f t="shared" si="2"/>
        <v>1</v>
      </c>
    </row>
    <row r="141" spans="1:11" s="981" customFormat="1" hidden="1">
      <c r="A141" s="1200"/>
      <c r="B141" s="983" t="s">
        <v>6475</v>
      </c>
      <c r="C141" s="984">
        <v>1</v>
      </c>
      <c r="D141" s="984" t="s">
        <v>6432</v>
      </c>
      <c r="E141" s="984">
        <v>2</v>
      </c>
      <c r="F141" s="985"/>
      <c r="G141" s="985"/>
      <c r="H141" s="985"/>
      <c r="I141" s="985">
        <f t="shared" si="2"/>
        <v>2</v>
      </c>
    </row>
    <row r="142" spans="1:11" s="981" customFormat="1" hidden="1">
      <c r="A142" s="1200"/>
      <c r="B142" s="983" t="s">
        <v>6471</v>
      </c>
      <c r="C142" s="984">
        <v>1</v>
      </c>
      <c r="D142" s="984" t="s">
        <v>6432</v>
      </c>
      <c r="E142" s="984">
        <v>1</v>
      </c>
      <c r="F142" s="985"/>
      <c r="G142" s="985"/>
      <c r="H142" s="985"/>
      <c r="I142" s="985">
        <f t="shared" si="2"/>
        <v>1</v>
      </c>
    </row>
    <row r="143" spans="1:11" s="981" customFormat="1" hidden="1">
      <c r="A143" s="1200"/>
      <c r="B143" s="983" t="s">
        <v>6472</v>
      </c>
      <c r="C143" s="984">
        <v>1</v>
      </c>
      <c r="D143" s="984" t="s">
        <v>6432</v>
      </c>
      <c r="E143" s="984">
        <v>2</v>
      </c>
      <c r="F143" s="985"/>
      <c r="G143" s="985"/>
      <c r="H143" s="985"/>
      <c r="I143" s="985">
        <f t="shared" si="2"/>
        <v>2</v>
      </c>
    </row>
    <row r="144" spans="1:11" s="981" customFormat="1" hidden="1">
      <c r="A144" s="1200"/>
      <c r="B144" s="983" t="s">
        <v>6477</v>
      </c>
      <c r="C144" s="984">
        <v>1</v>
      </c>
      <c r="D144" s="984" t="s">
        <v>6432</v>
      </c>
      <c r="E144" s="984">
        <v>2</v>
      </c>
      <c r="F144" s="985"/>
      <c r="G144" s="985"/>
      <c r="H144" s="985"/>
      <c r="I144" s="985">
        <f t="shared" si="2"/>
        <v>2</v>
      </c>
    </row>
    <row r="145" spans="1:11" s="981" customFormat="1" hidden="1">
      <c r="A145" s="1200"/>
      <c r="B145" s="983" t="s">
        <v>6473</v>
      </c>
      <c r="C145" s="984">
        <v>1</v>
      </c>
      <c r="D145" s="984" t="s">
        <v>6432</v>
      </c>
      <c r="E145" s="984">
        <v>1</v>
      </c>
      <c r="F145" s="985"/>
      <c r="G145" s="985"/>
      <c r="H145" s="985"/>
      <c r="I145" s="985">
        <f t="shared" si="2"/>
        <v>1</v>
      </c>
    </row>
    <row r="146" spans="1:11" s="981" customFormat="1" hidden="1">
      <c r="A146" s="1200"/>
      <c r="B146" s="983"/>
      <c r="C146" s="987"/>
      <c r="D146" s="987"/>
      <c r="E146" s="1203" t="s">
        <v>2245</v>
      </c>
      <c r="F146" s="1203"/>
      <c r="G146" s="1203"/>
      <c r="H146" s="988">
        <f>SUM(I127:I145)</f>
        <v>16</v>
      </c>
      <c r="I146" s="989" t="s">
        <v>1394</v>
      </c>
      <c r="J146" s="981">
        <v>3</v>
      </c>
      <c r="K146" s="982"/>
    </row>
    <row r="147" spans="1:11" s="981" customFormat="1" ht="23.25" hidden="1" customHeight="1">
      <c r="A147" s="1200">
        <v>37</v>
      </c>
      <c r="B147" s="1201" t="str">
        <f>'[8]AR Police Qtrs'!C90</f>
        <v>Supplying and fixing of CP Tap for wash basin</v>
      </c>
      <c r="C147" s="1202"/>
      <c r="D147" s="1202"/>
      <c r="E147" s="1202"/>
      <c r="F147" s="1202"/>
      <c r="G147" s="1202"/>
      <c r="H147" s="1202"/>
      <c r="I147" s="1202"/>
      <c r="K147" s="982"/>
    </row>
    <row r="148" spans="1:11" s="981" customFormat="1" hidden="1">
      <c r="A148" s="1200"/>
      <c r="B148" s="983" t="s">
        <v>6469</v>
      </c>
      <c r="C148" s="984">
        <v>1</v>
      </c>
      <c r="D148" s="984" t="s">
        <v>6432</v>
      </c>
      <c r="E148" s="984">
        <v>2</v>
      </c>
      <c r="F148" s="985"/>
      <c r="G148" s="985"/>
      <c r="H148" s="985"/>
      <c r="I148" s="985">
        <f t="shared" ref="I148:I154" si="3">ROUND(PRODUCT(C148:H148),2)</f>
        <v>2</v>
      </c>
    </row>
    <row r="149" spans="1:11" s="981" customFormat="1" hidden="1">
      <c r="A149" s="1200"/>
      <c r="B149" s="983" t="s">
        <v>6470</v>
      </c>
      <c r="C149" s="984">
        <v>1</v>
      </c>
      <c r="D149" s="984" t="s">
        <v>6432</v>
      </c>
      <c r="E149" s="984">
        <v>4</v>
      </c>
      <c r="F149" s="985"/>
      <c r="G149" s="985"/>
      <c r="H149" s="985"/>
      <c r="I149" s="985">
        <f t="shared" si="3"/>
        <v>4</v>
      </c>
    </row>
    <row r="150" spans="1:11" s="981" customFormat="1" hidden="1">
      <c r="A150" s="1200"/>
      <c r="B150" s="983" t="s">
        <v>6475</v>
      </c>
      <c r="C150" s="984">
        <v>1</v>
      </c>
      <c r="D150" s="984" t="s">
        <v>6432</v>
      </c>
      <c r="E150" s="984">
        <v>2</v>
      </c>
      <c r="F150" s="985"/>
      <c r="G150" s="985"/>
      <c r="H150" s="985"/>
      <c r="I150" s="985">
        <f t="shared" si="3"/>
        <v>2</v>
      </c>
    </row>
    <row r="151" spans="1:11" s="981" customFormat="1" hidden="1">
      <c r="A151" s="1200"/>
      <c r="B151" s="983" t="s">
        <v>6471</v>
      </c>
      <c r="C151" s="984">
        <v>1</v>
      </c>
      <c r="D151" s="984" t="s">
        <v>6432</v>
      </c>
      <c r="E151" s="984">
        <v>2</v>
      </c>
      <c r="F151" s="985"/>
      <c r="G151" s="985"/>
      <c r="H151" s="985"/>
      <c r="I151" s="985">
        <f t="shared" si="3"/>
        <v>2</v>
      </c>
    </row>
    <row r="152" spans="1:11" s="981" customFormat="1" hidden="1">
      <c r="A152" s="1200"/>
      <c r="B152" s="983" t="s">
        <v>6472</v>
      </c>
      <c r="C152" s="984">
        <v>1</v>
      </c>
      <c r="D152" s="984" t="s">
        <v>6432</v>
      </c>
      <c r="E152" s="984">
        <v>3</v>
      </c>
      <c r="F152" s="985"/>
      <c r="G152" s="985"/>
      <c r="H152" s="985"/>
      <c r="I152" s="985">
        <f t="shared" si="3"/>
        <v>3</v>
      </c>
    </row>
    <row r="153" spans="1:11" s="981" customFormat="1" hidden="1">
      <c r="A153" s="1200"/>
      <c r="B153" s="983" t="s">
        <v>6477</v>
      </c>
      <c r="C153" s="984">
        <v>1</v>
      </c>
      <c r="D153" s="984" t="s">
        <v>6432</v>
      </c>
      <c r="E153" s="984">
        <v>4</v>
      </c>
      <c r="F153" s="985"/>
      <c r="G153" s="985"/>
      <c r="H153" s="985"/>
      <c r="I153" s="985">
        <f t="shared" si="3"/>
        <v>4</v>
      </c>
    </row>
    <row r="154" spans="1:11" s="981" customFormat="1" hidden="1">
      <c r="A154" s="1200"/>
      <c r="B154" s="983" t="s">
        <v>6473</v>
      </c>
      <c r="C154" s="984">
        <v>1</v>
      </c>
      <c r="D154" s="984" t="s">
        <v>6432</v>
      </c>
      <c r="E154" s="984">
        <v>5</v>
      </c>
      <c r="F154" s="985"/>
      <c r="G154" s="985"/>
      <c r="H154" s="985"/>
      <c r="I154" s="985">
        <f t="shared" si="3"/>
        <v>5</v>
      </c>
    </row>
    <row r="155" spans="1:11" s="981" customFormat="1" hidden="1">
      <c r="A155" s="1200"/>
      <c r="B155" s="983"/>
      <c r="C155" s="987"/>
      <c r="D155" s="987"/>
      <c r="E155" s="1203" t="s">
        <v>2245</v>
      </c>
      <c r="F155" s="1203"/>
      <c r="G155" s="1203"/>
      <c r="H155" s="988">
        <f>SUM(I132:I154)</f>
        <v>35</v>
      </c>
      <c r="I155" s="989" t="s">
        <v>1394</v>
      </c>
      <c r="J155" s="981">
        <v>3</v>
      </c>
      <c r="K155" s="982"/>
    </row>
    <row r="156" spans="1:11" s="947" customFormat="1" ht="27" customHeight="1">
      <c r="A156" s="1194">
        <f>A96+1</f>
        <v>12</v>
      </c>
      <c r="B156" s="1196" t="s">
        <v>6394</v>
      </c>
      <c r="C156" s="1196"/>
      <c r="D156" s="1196"/>
      <c r="E156" s="1196"/>
      <c r="F156" s="1196"/>
      <c r="G156" s="1196"/>
      <c r="H156" s="1196"/>
      <c r="I156" s="1196"/>
      <c r="J156" s="947" t="s">
        <v>6434</v>
      </c>
      <c r="K156" s="961"/>
    </row>
    <row r="157" spans="1:11" s="947" customFormat="1">
      <c r="A157" s="1194"/>
      <c r="B157" s="963"/>
      <c r="C157" s="952">
        <v>1</v>
      </c>
      <c r="D157" s="952" t="s">
        <v>6432</v>
      </c>
      <c r="E157" s="952">
        <v>4</v>
      </c>
      <c r="F157" s="959">
        <v>12.5</v>
      </c>
      <c r="G157" s="959"/>
      <c r="H157" s="959"/>
      <c r="I157" s="959">
        <f>ROUND(PRODUCT(C157:H157),2)</f>
        <v>50</v>
      </c>
    </row>
    <row r="158" spans="1:11" s="947" customFormat="1">
      <c r="A158" s="1194"/>
      <c r="B158" s="963"/>
      <c r="C158" s="952"/>
      <c r="D158" s="952"/>
      <c r="E158" s="952"/>
      <c r="F158" s="959"/>
      <c r="G158" s="959"/>
      <c r="H158" s="959"/>
      <c r="I158" s="959"/>
    </row>
    <row r="159" spans="1:11" s="947" customFormat="1">
      <c r="A159" s="1194"/>
      <c r="B159" s="958"/>
      <c r="C159" s="964"/>
      <c r="D159" s="964"/>
      <c r="E159" s="1192" t="s">
        <v>2245</v>
      </c>
      <c r="F159" s="1192"/>
      <c r="G159" s="1192"/>
      <c r="H159" s="960">
        <f>SUM(I157:I158)</f>
        <v>50</v>
      </c>
      <c r="I159" s="962" t="s">
        <v>826</v>
      </c>
      <c r="K159" s="961"/>
    </row>
    <row r="160" spans="1:11" s="965" customFormat="1" ht="83.25" customHeight="1">
      <c r="A160" s="1205">
        <f>A156+1</f>
        <v>13</v>
      </c>
      <c r="B160" s="1206" t="s">
        <v>6395</v>
      </c>
      <c r="C160" s="1206"/>
      <c r="D160" s="1206"/>
      <c r="E160" s="1206"/>
      <c r="F160" s="1206"/>
      <c r="G160" s="1206"/>
      <c r="H160" s="1206"/>
      <c r="I160" s="1206"/>
      <c r="K160" s="966"/>
    </row>
    <row r="161" spans="1:11" s="965" customFormat="1" ht="24.75" customHeight="1">
      <c r="A161" s="1205"/>
      <c r="B161" s="1211" t="s">
        <v>6478</v>
      </c>
      <c r="C161" s="1211"/>
      <c r="D161" s="1211"/>
      <c r="E161" s="1211"/>
      <c r="F161" s="1211"/>
      <c r="G161" s="1211"/>
      <c r="H161" s="1211"/>
      <c r="I161" s="1211"/>
      <c r="K161" s="966"/>
    </row>
    <row r="162" spans="1:11" s="965" customFormat="1" ht="15.75" customHeight="1">
      <c r="A162" s="1205"/>
      <c r="B162" s="968" t="s">
        <v>6479</v>
      </c>
      <c r="C162" s="969">
        <v>1</v>
      </c>
      <c r="D162" s="969" t="s">
        <v>6432</v>
      </c>
      <c r="E162" s="969">
        <v>2</v>
      </c>
      <c r="F162" s="970">
        <v>16.8</v>
      </c>
      <c r="G162" s="970"/>
      <c r="H162" s="970"/>
      <c r="I162" s="970">
        <f>ROUND(PRODUCT(C162:H162),2)</f>
        <v>33.6</v>
      </c>
    </row>
    <row r="163" spans="1:11" s="965" customFormat="1" ht="29.25" customHeight="1">
      <c r="A163" s="1205"/>
      <c r="B163" s="968"/>
      <c r="C163" s="971"/>
      <c r="D163" s="971"/>
      <c r="E163" s="1207" t="s">
        <v>2245</v>
      </c>
      <c r="F163" s="1207"/>
      <c r="G163" s="1207"/>
      <c r="H163" s="972">
        <f>ROUND(SUM(I162:I162),2)</f>
        <v>33.6</v>
      </c>
      <c r="I163" s="973" t="s">
        <v>1771</v>
      </c>
      <c r="J163" s="965">
        <v>12</v>
      </c>
    </row>
    <row r="164" spans="1:11" s="965" customFormat="1" ht="30" customHeight="1">
      <c r="A164" s="1205"/>
      <c r="B164" s="1211" t="s">
        <v>6480</v>
      </c>
      <c r="C164" s="1211"/>
      <c r="D164" s="1211"/>
      <c r="E164" s="1211"/>
      <c r="F164" s="1211"/>
      <c r="G164" s="1211"/>
      <c r="H164" s="1211"/>
      <c r="I164" s="1211"/>
      <c r="K164" s="966"/>
    </row>
    <row r="165" spans="1:11" s="965" customFormat="1" ht="15.75" customHeight="1">
      <c r="A165" s="1205"/>
      <c r="B165" s="968" t="s">
        <v>6481</v>
      </c>
      <c r="C165" s="969">
        <v>1</v>
      </c>
      <c r="D165" s="969" t="s">
        <v>6432</v>
      </c>
      <c r="E165" s="969">
        <v>2</v>
      </c>
      <c r="F165" s="970">
        <v>8</v>
      </c>
      <c r="G165" s="970"/>
      <c r="H165" s="970"/>
      <c r="I165" s="970">
        <f>ROUND(PRODUCT(C165:H165),2)</f>
        <v>16</v>
      </c>
    </row>
    <row r="166" spans="1:11" s="965" customFormat="1" ht="19.5" customHeight="1">
      <c r="A166" s="1205"/>
      <c r="B166" s="968"/>
      <c r="C166" s="971"/>
      <c r="D166" s="971"/>
      <c r="E166" s="1207" t="s">
        <v>2245</v>
      </c>
      <c r="F166" s="1207"/>
      <c r="G166" s="1207"/>
      <c r="H166" s="972">
        <f>ROUND(SUM(I165:I165),2)</f>
        <v>16</v>
      </c>
      <c r="I166" s="973" t="s">
        <v>1771</v>
      </c>
      <c r="J166" s="965">
        <v>12</v>
      </c>
    </row>
    <row r="167" spans="1:11" s="965" customFormat="1" ht="157.5" customHeight="1">
      <c r="A167" s="1210">
        <f>A160+1</f>
        <v>14</v>
      </c>
      <c r="B167" s="1206" t="s">
        <v>6482</v>
      </c>
      <c r="C167" s="1206"/>
      <c r="D167" s="1206"/>
      <c r="E167" s="1206"/>
      <c r="F167" s="1206"/>
      <c r="G167" s="1206"/>
      <c r="H167" s="1206"/>
      <c r="I167" s="1206"/>
    </row>
    <row r="168" spans="1:11" s="965" customFormat="1" ht="16.5" customHeight="1">
      <c r="A168" s="1210"/>
      <c r="B168" s="968" t="s">
        <v>6483</v>
      </c>
      <c r="C168" s="969">
        <v>2</v>
      </c>
      <c r="D168" s="969" t="s">
        <v>6432</v>
      </c>
      <c r="E168" s="969">
        <v>2</v>
      </c>
      <c r="F168" s="970">
        <v>0.75</v>
      </c>
      <c r="G168" s="970"/>
      <c r="H168" s="970">
        <v>2.1</v>
      </c>
      <c r="I168" s="970">
        <f>ROUND(PRODUCT(C168:H168),2)</f>
        <v>6.3</v>
      </c>
    </row>
    <row r="169" spans="1:11" s="965" customFormat="1" ht="15" customHeight="1">
      <c r="A169" s="1210"/>
      <c r="B169" s="1017" t="s">
        <v>6436</v>
      </c>
      <c r="C169" s="969"/>
      <c r="D169" s="969"/>
      <c r="E169" s="969"/>
      <c r="F169" s="970"/>
      <c r="G169" s="970"/>
      <c r="H169" s="970"/>
      <c r="I169" s="970"/>
    </row>
    <row r="170" spans="1:11" s="965" customFormat="1" ht="20.25" customHeight="1">
      <c r="A170" s="1210"/>
      <c r="B170" s="968"/>
      <c r="C170" s="971"/>
      <c r="D170" s="971"/>
      <c r="E170" s="1207" t="s">
        <v>2245</v>
      </c>
      <c r="F170" s="1207"/>
      <c r="G170" s="1207"/>
      <c r="H170" s="972">
        <f>ROUND(SUM(I168:I169),2)</f>
        <v>6.3</v>
      </c>
      <c r="I170" s="973" t="s">
        <v>2283</v>
      </c>
      <c r="J170" s="965">
        <v>12</v>
      </c>
    </row>
    <row r="171" spans="1:11" s="965" customFormat="1" ht="28.5" customHeight="1">
      <c r="A171" s="1205">
        <f>A167+1</f>
        <v>15</v>
      </c>
      <c r="B171" s="1206" t="s">
        <v>6484</v>
      </c>
      <c r="C171" s="1206"/>
      <c r="D171" s="1206"/>
      <c r="E171" s="1206"/>
      <c r="F171" s="1206"/>
      <c r="G171" s="1206"/>
      <c r="H171" s="1206"/>
      <c r="I171" s="1206"/>
      <c r="J171" s="965" t="s">
        <v>6434</v>
      </c>
      <c r="K171" s="966"/>
    </row>
    <row r="172" spans="1:11" s="965" customFormat="1">
      <c r="A172" s="1205"/>
      <c r="B172" s="1017" t="s">
        <v>6483</v>
      </c>
      <c r="C172" s="969">
        <v>1</v>
      </c>
      <c r="D172" s="969" t="s">
        <v>6432</v>
      </c>
      <c r="E172" s="969">
        <v>5</v>
      </c>
      <c r="F172" s="970"/>
      <c r="G172" s="970"/>
      <c r="H172" s="970"/>
      <c r="I172" s="970">
        <f>ROUND(PRODUCT(C172:H172),2)</f>
        <v>5</v>
      </c>
    </row>
    <row r="173" spans="1:11" s="965" customFormat="1">
      <c r="A173" s="1205"/>
      <c r="B173" s="968"/>
      <c r="C173" s="971"/>
      <c r="D173" s="971"/>
      <c r="E173" s="1207" t="s">
        <v>2245</v>
      </c>
      <c r="F173" s="1207"/>
      <c r="G173" s="1207"/>
      <c r="H173" s="972">
        <f>SUM(I172:I172)</f>
        <v>5</v>
      </c>
      <c r="I173" s="973" t="s">
        <v>1398</v>
      </c>
      <c r="K173" s="966"/>
    </row>
    <row r="174" spans="1:11" s="965" customFormat="1" ht="28.5" customHeight="1">
      <c r="A174" s="1205">
        <f>A171+1</f>
        <v>16</v>
      </c>
      <c r="B174" s="1206" t="s">
        <v>6485</v>
      </c>
      <c r="C174" s="1206"/>
      <c r="D174" s="1206"/>
      <c r="E174" s="1206"/>
      <c r="F174" s="1206"/>
      <c r="G174" s="1206"/>
      <c r="H174" s="1206"/>
      <c r="I174" s="1206"/>
      <c r="J174" s="965" t="s">
        <v>6434</v>
      </c>
      <c r="K174" s="966"/>
    </row>
    <row r="175" spans="1:11" s="965" customFormat="1">
      <c r="A175" s="1205"/>
      <c r="B175" s="1017" t="s">
        <v>6483</v>
      </c>
      <c r="C175" s="969">
        <v>1</v>
      </c>
      <c r="D175" s="969" t="s">
        <v>6432</v>
      </c>
      <c r="E175" s="969">
        <v>4</v>
      </c>
      <c r="F175" s="970"/>
      <c r="G175" s="970"/>
      <c r="H175" s="970"/>
      <c r="I175" s="970">
        <f>ROUND(PRODUCT(C175:H175),2)</f>
        <v>4</v>
      </c>
    </row>
    <row r="176" spans="1:11" s="965" customFormat="1">
      <c r="A176" s="1205"/>
      <c r="B176" s="968"/>
      <c r="C176" s="971"/>
      <c r="D176" s="971"/>
      <c r="E176" s="1207" t="s">
        <v>2245</v>
      </c>
      <c r="F176" s="1207"/>
      <c r="G176" s="1207"/>
      <c r="H176" s="972">
        <f>SUM(I175:I175)</f>
        <v>4</v>
      </c>
      <c r="I176" s="973" t="s">
        <v>1398</v>
      </c>
      <c r="K176" s="966"/>
    </row>
    <row r="177" spans="1:11" s="965" customFormat="1" ht="66.75" customHeight="1">
      <c r="A177" s="1205">
        <f>A174+1</f>
        <v>17</v>
      </c>
      <c r="B177" s="1206" t="s">
        <v>6486</v>
      </c>
      <c r="C177" s="1206"/>
      <c r="D177" s="1206"/>
      <c r="E177" s="1206"/>
      <c r="F177" s="1206"/>
      <c r="G177" s="1206"/>
      <c r="H177" s="1206"/>
      <c r="I177" s="1206"/>
      <c r="J177" s="965" t="s">
        <v>6434</v>
      </c>
      <c r="K177" s="966"/>
    </row>
    <row r="178" spans="1:11" s="965" customFormat="1">
      <c r="A178" s="1205"/>
      <c r="B178" s="1017" t="s">
        <v>6373</v>
      </c>
      <c r="C178" s="969">
        <v>1</v>
      </c>
      <c r="D178" s="969" t="s">
        <v>6432</v>
      </c>
      <c r="E178" s="969">
        <v>1</v>
      </c>
      <c r="F178" s="970"/>
      <c r="G178" s="970"/>
      <c r="H178" s="970"/>
      <c r="I178" s="970">
        <f>ROUND(PRODUCT(C178:H178),2)</f>
        <v>1</v>
      </c>
    </row>
    <row r="179" spans="1:11" s="965" customFormat="1">
      <c r="A179" s="1205"/>
      <c r="B179" s="968"/>
      <c r="C179" s="971"/>
      <c r="D179" s="971"/>
      <c r="E179" s="1207" t="s">
        <v>2245</v>
      </c>
      <c r="F179" s="1207"/>
      <c r="G179" s="1207"/>
      <c r="H179" s="972">
        <f>SUM(I178:I178)</f>
        <v>1</v>
      </c>
      <c r="I179" s="973" t="s">
        <v>1398</v>
      </c>
      <c r="K179" s="966"/>
    </row>
    <row r="180" spans="1:11" s="965" customFormat="1" ht="94.5" customHeight="1">
      <c r="A180" s="1205">
        <f>A177+1</f>
        <v>18</v>
      </c>
      <c r="B180" s="1209" t="s">
        <v>6487</v>
      </c>
      <c r="C180" s="1206"/>
      <c r="D180" s="1206"/>
      <c r="E180" s="1206"/>
      <c r="F180" s="1206"/>
      <c r="G180" s="1206"/>
      <c r="H180" s="1206"/>
      <c r="I180" s="1206"/>
      <c r="K180" s="966"/>
    </row>
    <row r="181" spans="1:11" s="965" customFormat="1">
      <c r="A181" s="1205"/>
      <c r="B181" s="968"/>
      <c r="C181" s="969">
        <v>1</v>
      </c>
      <c r="D181" s="969" t="s">
        <v>6432</v>
      </c>
      <c r="E181" s="969">
        <v>1</v>
      </c>
      <c r="F181" s="970"/>
      <c r="G181" s="970"/>
      <c r="H181" s="970"/>
      <c r="I181" s="970">
        <f>ROUND(PRODUCT(C181:H181),2)</f>
        <v>1</v>
      </c>
    </row>
    <row r="182" spans="1:11" s="965" customFormat="1" ht="18" customHeight="1">
      <c r="A182" s="1205"/>
      <c r="B182" s="968"/>
      <c r="C182" s="971"/>
      <c r="D182" s="971"/>
      <c r="E182" s="1207" t="s">
        <v>2245</v>
      </c>
      <c r="F182" s="1207"/>
      <c r="G182" s="1207"/>
      <c r="H182" s="972">
        <f>ROUND(SUM(I181:I181),2)</f>
        <v>1</v>
      </c>
      <c r="I182" s="973" t="s">
        <v>1394</v>
      </c>
      <c r="J182" s="965">
        <v>2</v>
      </c>
    </row>
    <row r="183" spans="1:11" s="947" customFormat="1" ht="86.25" customHeight="1">
      <c r="A183" s="1204">
        <f>A180+1</f>
        <v>19</v>
      </c>
      <c r="B183" s="1196" t="s">
        <v>6397</v>
      </c>
      <c r="C183" s="1196"/>
      <c r="D183" s="1196"/>
      <c r="E183" s="1196"/>
      <c r="F183" s="1196"/>
      <c r="G183" s="1196"/>
      <c r="H183" s="1196"/>
      <c r="I183" s="1196"/>
    </row>
    <row r="184" spans="1:11" s="947" customFormat="1" ht="17.25" customHeight="1">
      <c r="A184" s="1204"/>
      <c r="B184" s="1018" t="s">
        <v>6488</v>
      </c>
      <c r="C184" s="1086"/>
      <c r="D184" s="1086"/>
      <c r="E184" s="1086"/>
      <c r="F184" s="1086"/>
      <c r="G184" s="1086"/>
      <c r="H184" s="1086"/>
      <c r="I184" s="1086"/>
    </row>
    <row r="185" spans="1:11" s="947" customFormat="1" ht="16.5" customHeight="1">
      <c r="A185" s="1204"/>
      <c r="B185" s="1019" t="s">
        <v>6489</v>
      </c>
      <c r="C185" s="1020">
        <v>1</v>
      </c>
      <c r="D185" s="1020" t="s">
        <v>6432</v>
      </c>
      <c r="E185" s="1020">
        <v>4</v>
      </c>
      <c r="F185" s="1021"/>
      <c r="G185" s="1022"/>
      <c r="H185" s="1021"/>
      <c r="I185" s="1023">
        <f>E185*C185</f>
        <v>4</v>
      </c>
      <c r="J185" s="1024"/>
    </row>
    <row r="186" spans="1:11" s="947" customFormat="1" ht="16.5" customHeight="1">
      <c r="A186" s="1204"/>
      <c r="B186" s="1019" t="s">
        <v>6490</v>
      </c>
      <c r="C186" s="1020">
        <v>1</v>
      </c>
      <c r="D186" s="1020" t="s">
        <v>6432</v>
      </c>
      <c r="E186" s="1020">
        <v>4</v>
      </c>
      <c r="F186" s="1023"/>
      <c r="G186" s="1022"/>
      <c r="H186" s="1021"/>
      <c r="I186" s="1023">
        <f>E186*C186</f>
        <v>4</v>
      </c>
      <c r="J186" s="1024"/>
    </row>
    <row r="187" spans="1:11" s="947" customFormat="1" ht="16.5" customHeight="1">
      <c r="A187" s="1204"/>
      <c r="B187" s="1019" t="s">
        <v>6491</v>
      </c>
      <c r="C187" s="1020">
        <v>1</v>
      </c>
      <c r="D187" s="1020" t="s">
        <v>6432</v>
      </c>
      <c r="E187" s="1020">
        <v>4</v>
      </c>
      <c r="F187" s="1023"/>
      <c r="G187" s="1022"/>
      <c r="H187" s="1021"/>
      <c r="I187" s="1023">
        <f>E187*C187</f>
        <v>4</v>
      </c>
      <c r="J187" s="1024"/>
    </row>
    <row r="188" spans="1:11" s="947" customFormat="1" ht="16.5" customHeight="1">
      <c r="A188" s="1204"/>
      <c r="B188" s="1019"/>
      <c r="C188" s="1020"/>
      <c r="D188" s="1020"/>
      <c r="E188" s="1020"/>
      <c r="F188" s="1023"/>
      <c r="G188" s="1022"/>
      <c r="H188" s="1021" t="s">
        <v>2245</v>
      </c>
      <c r="I188" s="1025">
        <f>SUM(I185:I187)</f>
        <v>12</v>
      </c>
      <c r="J188" s="1024"/>
    </row>
    <row r="189" spans="1:11" s="947" customFormat="1" ht="17.25" customHeight="1">
      <c r="A189" s="1204"/>
      <c r="B189" s="1018" t="s">
        <v>6492</v>
      </c>
      <c r="C189" s="1086"/>
      <c r="D189" s="1086"/>
      <c r="E189" s="1086"/>
      <c r="F189" s="1086"/>
      <c r="G189" s="1086"/>
      <c r="H189" s="1086"/>
      <c r="I189" s="1086"/>
    </row>
    <row r="190" spans="1:11" s="947" customFormat="1" ht="16.5" customHeight="1">
      <c r="A190" s="1204"/>
      <c r="B190" s="1019" t="s">
        <v>6493</v>
      </c>
      <c r="C190" s="1020">
        <v>1</v>
      </c>
      <c r="D190" s="1020" t="s">
        <v>6432</v>
      </c>
      <c r="E190" s="1020">
        <v>1</v>
      </c>
      <c r="F190" s="1021"/>
      <c r="G190" s="1022"/>
      <c r="H190" s="1021"/>
      <c r="I190" s="1023">
        <f>E190*C190</f>
        <v>1</v>
      </c>
      <c r="J190" s="1024"/>
    </row>
    <row r="191" spans="1:11" s="947" customFormat="1" ht="16.5" customHeight="1">
      <c r="A191" s="1204"/>
      <c r="B191" s="1019" t="s">
        <v>6462</v>
      </c>
      <c r="C191" s="1020">
        <v>1</v>
      </c>
      <c r="D191" s="1020" t="s">
        <v>6432</v>
      </c>
      <c r="E191" s="1020">
        <v>3</v>
      </c>
      <c r="F191" s="1023"/>
      <c r="G191" s="1022"/>
      <c r="H191" s="1021"/>
      <c r="I191" s="1023">
        <f>E191*C191</f>
        <v>3</v>
      </c>
      <c r="J191" s="1024"/>
    </row>
    <row r="192" spans="1:11" s="947" customFormat="1" ht="16.5" customHeight="1">
      <c r="A192" s="1204"/>
      <c r="B192" s="1019" t="s">
        <v>6445</v>
      </c>
      <c r="C192" s="1020">
        <v>1</v>
      </c>
      <c r="D192" s="1020" t="s">
        <v>6432</v>
      </c>
      <c r="E192" s="1020">
        <v>2</v>
      </c>
      <c r="F192" s="1023"/>
      <c r="G192" s="1022"/>
      <c r="H192" s="1021"/>
      <c r="I192" s="1023">
        <f>E192*C192</f>
        <v>2</v>
      </c>
      <c r="J192" s="1024"/>
    </row>
    <row r="193" spans="1:11" s="947" customFormat="1" ht="16.5" customHeight="1">
      <c r="A193" s="1204"/>
      <c r="B193" s="1019" t="s">
        <v>6373</v>
      </c>
      <c r="C193" s="1020">
        <v>1</v>
      </c>
      <c r="D193" s="1020" t="s">
        <v>6432</v>
      </c>
      <c r="E193" s="1020">
        <v>2</v>
      </c>
      <c r="F193" s="1023"/>
      <c r="G193" s="1022"/>
      <c r="H193" s="1021"/>
      <c r="I193" s="1023">
        <f>E193*C193</f>
        <v>2</v>
      </c>
      <c r="J193" s="1024"/>
    </row>
    <row r="194" spans="1:11" s="947" customFormat="1" ht="16.5" customHeight="1">
      <c r="A194" s="1204"/>
      <c r="B194" s="1019"/>
      <c r="C194" s="1020"/>
      <c r="D194" s="1020"/>
      <c r="E194" s="1020"/>
      <c r="F194" s="1023"/>
      <c r="G194" s="1022"/>
      <c r="H194" s="1021" t="s">
        <v>2245</v>
      </c>
      <c r="I194" s="1025">
        <f>SUM(I190:I193)</f>
        <v>8</v>
      </c>
      <c r="J194" s="1024"/>
    </row>
    <row r="195" spans="1:11" s="947" customFormat="1" ht="85.5" customHeight="1">
      <c r="A195" s="1204">
        <f>A183+1</f>
        <v>20</v>
      </c>
      <c r="B195" s="1196" t="s">
        <v>6494</v>
      </c>
      <c r="C195" s="1196"/>
      <c r="D195" s="1196"/>
      <c r="E195" s="1196"/>
      <c r="F195" s="1196"/>
      <c r="G195" s="1196"/>
      <c r="H195" s="1196"/>
      <c r="I195" s="1196"/>
    </row>
    <row r="196" spans="1:11" s="965" customFormat="1" ht="16.5" customHeight="1">
      <c r="A196" s="1204"/>
      <c r="B196" s="968" t="s">
        <v>6326</v>
      </c>
      <c r="C196" s="969">
        <v>1</v>
      </c>
      <c r="D196" s="969" t="s">
        <v>6432</v>
      </c>
      <c r="E196" s="969">
        <v>1</v>
      </c>
      <c r="F196" s="970"/>
      <c r="G196" s="970"/>
      <c r="H196" s="970"/>
      <c r="I196" s="970">
        <f>ROUND(PRODUCT(C196:H196),2)</f>
        <v>1</v>
      </c>
    </row>
    <row r="197" spans="1:11" s="965" customFormat="1" ht="16.5" customHeight="1">
      <c r="A197" s="1204"/>
      <c r="B197" s="968" t="s">
        <v>6495</v>
      </c>
      <c r="C197" s="969">
        <v>1</v>
      </c>
      <c r="D197" s="969" t="s">
        <v>6432</v>
      </c>
      <c r="E197" s="969">
        <v>1</v>
      </c>
      <c r="F197" s="970"/>
      <c r="G197" s="970"/>
      <c r="H197" s="970"/>
      <c r="I197" s="970">
        <f>ROUND(PRODUCT(C197:H197),2)</f>
        <v>1</v>
      </c>
    </row>
    <row r="198" spans="1:11" s="965" customFormat="1" ht="16.5" customHeight="1">
      <c r="A198" s="1204"/>
      <c r="B198" s="968" t="s">
        <v>6445</v>
      </c>
      <c r="C198" s="969">
        <v>1</v>
      </c>
      <c r="D198" s="969" t="s">
        <v>6432</v>
      </c>
      <c r="E198" s="969">
        <v>2</v>
      </c>
      <c r="F198" s="970"/>
      <c r="G198" s="970"/>
      <c r="H198" s="970"/>
      <c r="I198" s="970">
        <f>ROUND(PRODUCT(C198:H198),2)</f>
        <v>2</v>
      </c>
    </row>
    <row r="199" spans="1:11" s="965" customFormat="1" ht="16.5" customHeight="1">
      <c r="A199" s="1204"/>
      <c r="B199" s="968" t="s">
        <v>6462</v>
      </c>
      <c r="C199" s="969">
        <v>1</v>
      </c>
      <c r="D199" s="969" t="s">
        <v>6432</v>
      </c>
      <c r="E199" s="969">
        <v>2</v>
      </c>
      <c r="F199" s="970"/>
      <c r="G199" s="970"/>
      <c r="H199" s="970"/>
      <c r="I199" s="970">
        <f>ROUND(PRODUCT(C199:H199),2)</f>
        <v>2</v>
      </c>
    </row>
    <row r="200" spans="1:11" s="965" customFormat="1" ht="16.5" customHeight="1">
      <c r="A200" s="1204"/>
      <c r="B200" s="968" t="s">
        <v>6496</v>
      </c>
      <c r="C200" s="969">
        <v>2</v>
      </c>
      <c r="D200" s="969" t="s">
        <v>6432</v>
      </c>
      <c r="E200" s="969">
        <v>2</v>
      </c>
      <c r="F200" s="970"/>
      <c r="G200" s="970"/>
      <c r="H200" s="970"/>
      <c r="I200" s="970">
        <f>ROUND(PRODUCT(C200:H200),2)</f>
        <v>4</v>
      </c>
    </row>
    <row r="201" spans="1:11" s="947" customFormat="1" ht="16.5" customHeight="1">
      <c r="A201" s="1204"/>
      <c r="B201" s="1019"/>
      <c r="C201" s="1020"/>
      <c r="D201" s="1020"/>
      <c r="E201" s="1020"/>
      <c r="F201" s="1023"/>
      <c r="G201" s="1022"/>
      <c r="H201" s="1021" t="s">
        <v>2245</v>
      </c>
      <c r="I201" s="1025">
        <f>SUM(I196:I200)</f>
        <v>10</v>
      </c>
      <c r="J201" s="1024"/>
    </row>
    <row r="202" spans="1:11" s="947" customFormat="1" ht="110.25" customHeight="1">
      <c r="A202" s="1194">
        <f>A195+1</f>
        <v>21</v>
      </c>
      <c r="B202" s="1196" t="s">
        <v>6399</v>
      </c>
      <c r="C202" s="1196"/>
      <c r="D202" s="1196"/>
      <c r="E202" s="1196"/>
      <c r="F202" s="1196"/>
      <c r="G202" s="1196"/>
      <c r="H202" s="1196"/>
      <c r="I202" s="1196"/>
      <c r="K202" s="961"/>
    </row>
    <row r="203" spans="1:11" s="947" customFormat="1">
      <c r="A203" s="1194"/>
      <c r="B203" s="958" t="s">
        <v>6497</v>
      </c>
      <c r="C203" s="952">
        <v>1</v>
      </c>
      <c r="D203" s="952" t="s">
        <v>6432</v>
      </c>
      <c r="E203" s="952">
        <v>3</v>
      </c>
      <c r="F203" s="959"/>
      <c r="G203" s="959"/>
      <c r="H203" s="959"/>
      <c r="I203" s="959">
        <f>ROUND(PRODUCT(C203:H203),2)</f>
        <v>3</v>
      </c>
    </row>
    <row r="204" spans="1:11" s="947" customFormat="1" ht="29.25" customHeight="1">
      <c r="A204" s="1194"/>
      <c r="B204" s="958"/>
      <c r="C204" s="964"/>
      <c r="D204" s="964"/>
      <c r="E204" s="1192" t="s">
        <v>2245</v>
      </c>
      <c r="F204" s="1192"/>
      <c r="G204" s="1192"/>
      <c r="H204" s="960">
        <f>ROUND(SUM(I203:I203),2)</f>
        <v>3</v>
      </c>
      <c r="I204" s="962" t="s">
        <v>1398</v>
      </c>
      <c r="J204" s="947">
        <v>1</v>
      </c>
    </row>
    <row r="205" spans="1:11" s="947" customFormat="1" ht="28.5" customHeight="1">
      <c r="A205" s="1194">
        <f>A202+1</f>
        <v>22</v>
      </c>
      <c r="B205" s="1196" t="s">
        <v>6400</v>
      </c>
      <c r="C205" s="1196"/>
      <c r="D205" s="1196"/>
      <c r="E205" s="1196"/>
      <c r="F205" s="1196"/>
      <c r="G205" s="1196"/>
      <c r="H205" s="1196"/>
      <c r="I205" s="1196"/>
      <c r="J205" s="947" t="s">
        <v>6434</v>
      </c>
      <c r="K205" s="961"/>
    </row>
    <row r="206" spans="1:11" s="947" customFormat="1">
      <c r="A206" s="1194"/>
      <c r="B206" s="963" t="s">
        <v>6498</v>
      </c>
      <c r="C206" s="952">
        <v>1</v>
      </c>
      <c r="D206" s="952" t="s">
        <v>6432</v>
      </c>
      <c r="E206" s="952">
        <v>2</v>
      </c>
      <c r="F206" s="959"/>
      <c r="G206" s="959"/>
      <c r="H206" s="959"/>
      <c r="I206" s="959">
        <f>ROUND(PRODUCT(C206:H206),2)</f>
        <v>2</v>
      </c>
    </row>
    <row r="207" spans="1:11" s="947" customFormat="1">
      <c r="A207" s="1194"/>
      <c r="B207" s="963" t="s">
        <v>6499</v>
      </c>
      <c r="C207" s="952">
        <v>1</v>
      </c>
      <c r="D207" s="952" t="s">
        <v>6432</v>
      </c>
      <c r="E207" s="952">
        <v>2</v>
      </c>
      <c r="F207" s="959"/>
      <c r="G207" s="959"/>
      <c r="H207" s="959"/>
      <c r="I207" s="959">
        <f>ROUND(PRODUCT(C207:H207),2)</f>
        <v>2</v>
      </c>
    </row>
    <row r="208" spans="1:11" s="947" customFormat="1">
      <c r="A208" s="1194"/>
      <c r="B208" s="958"/>
      <c r="C208" s="964"/>
      <c r="D208" s="964"/>
      <c r="E208" s="1192" t="s">
        <v>2245</v>
      </c>
      <c r="F208" s="1192"/>
      <c r="G208" s="1192"/>
      <c r="H208" s="960">
        <f>SUM(I206:I207)</f>
        <v>4</v>
      </c>
      <c r="I208" s="962" t="s">
        <v>1398</v>
      </c>
      <c r="K208" s="961"/>
    </row>
    <row r="209" spans="1:11" s="947" customFormat="1" ht="39" customHeight="1">
      <c r="A209" s="1194">
        <f>A205+1</f>
        <v>23</v>
      </c>
      <c r="B209" s="1196" t="s">
        <v>6401</v>
      </c>
      <c r="C209" s="1196"/>
      <c r="D209" s="1196"/>
      <c r="E209" s="1196"/>
      <c r="F209" s="1196"/>
      <c r="G209" s="1196"/>
      <c r="H209" s="1196"/>
      <c r="I209" s="1196"/>
      <c r="K209" s="961"/>
    </row>
    <row r="210" spans="1:11" s="947" customFormat="1" ht="18.75" customHeight="1">
      <c r="A210" s="1194"/>
      <c r="B210" s="1018" t="s">
        <v>6500</v>
      </c>
      <c r="C210" s="1086"/>
      <c r="D210" s="1086"/>
      <c r="E210" s="1086"/>
      <c r="F210" s="1086"/>
      <c r="G210" s="1086"/>
      <c r="H210" s="1086"/>
      <c r="I210" s="1086"/>
      <c r="K210" s="961"/>
    </row>
    <row r="211" spans="1:11" s="947" customFormat="1" ht="18.75" customHeight="1">
      <c r="A211" s="1194"/>
      <c r="B211" s="958" t="s">
        <v>6501</v>
      </c>
      <c r="C211" s="952">
        <v>1</v>
      </c>
      <c r="D211" s="952" t="s">
        <v>6432</v>
      </c>
      <c r="E211" s="952">
        <v>4</v>
      </c>
      <c r="F211" s="959"/>
      <c r="G211" s="959"/>
      <c r="H211" s="959"/>
      <c r="I211" s="959">
        <f>ROUND(PRODUCT(C211:H211),2)</f>
        <v>4</v>
      </c>
    </row>
    <row r="212" spans="1:11" s="947" customFormat="1" ht="21" customHeight="1">
      <c r="A212" s="1194"/>
      <c r="B212" s="958"/>
      <c r="C212" s="964"/>
      <c r="D212" s="964"/>
      <c r="E212" s="1192" t="s">
        <v>2245</v>
      </c>
      <c r="F212" s="1192"/>
      <c r="G212" s="1192"/>
      <c r="H212" s="960">
        <f>ROUND(SUM(I211:I211),2)</f>
        <v>4</v>
      </c>
      <c r="I212" s="962" t="s">
        <v>1398</v>
      </c>
      <c r="J212" s="947">
        <v>1</v>
      </c>
    </row>
    <row r="213" spans="1:11" s="965" customFormat="1" ht="79.5" customHeight="1">
      <c r="A213" s="1208">
        <f>A209+1</f>
        <v>24</v>
      </c>
      <c r="B213" s="1209" t="s">
        <v>6402</v>
      </c>
      <c r="C213" s="1206"/>
      <c r="D213" s="1206"/>
      <c r="E213" s="1206"/>
      <c r="F213" s="1206"/>
      <c r="G213" s="1206"/>
      <c r="H213" s="1206"/>
      <c r="I213" s="1206"/>
    </row>
    <row r="214" spans="1:11" s="965" customFormat="1" ht="16.5" customHeight="1">
      <c r="A214" s="1208"/>
      <c r="B214" s="968" t="s">
        <v>6326</v>
      </c>
      <c r="C214" s="969">
        <v>1</v>
      </c>
      <c r="D214" s="969" t="s">
        <v>6432</v>
      </c>
      <c r="E214" s="969">
        <v>1</v>
      </c>
      <c r="F214" s="970"/>
      <c r="G214" s="970"/>
      <c r="H214" s="970"/>
      <c r="I214" s="970">
        <f>ROUND(PRODUCT(C214:H214),2)</f>
        <v>1</v>
      </c>
    </row>
    <row r="215" spans="1:11" s="965" customFormat="1" ht="16.5" customHeight="1">
      <c r="A215" s="1208"/>
      <c r="B215" s="968" t="s">
        <v>6495</v>
      </c>
      <c r="C215" s="969">
        <v>1</v>
      </c>
      <c r="D215" s="969" t="s">
        <v>6432</v>
      </c>
      <c r="E215" s="969">
        <v>1</v>
      </c>
      <c r="F215" s="970"/>
      <c r="G215" s="970"/>
      <c r="H215" s="970"/>
      <c r="I215" s="970">
        <f>ROUND(PRODUCT(C215:H215),2)</f>
        <v>1</v>
      </c>
    </row>
    <row r="216" spans="1:11" s="965" customFormat="1" ht="16.5" customHeight="1">
      <c r="A216" s="1208"/>
      <c r="B216" s="968" t="s">
        <v>6445</v>
      </c>
      <c r="C216" s="969">
        <v>1</v>
      </c>
      <c r="D216" s="969" t="s">
        <v>6432</v>
      </c>
      <c r="E216" s="969">
        <v>1</v>
      </c>
      <c r="F216" s="970"/>
      <c r="G216" s="970"/>
      <c r="H216" s="970"/>
      <c r="I216" s="970">
        <f>ROUND(PRODUCT(C216:H216),2)</f>
        <v>1</v>
      </c>
    </row>
    <row r="217" spans="1:11" s="965" customFormat="1" ht="16.5" customHeight="1">
      <c r="A217" s="1208"/>
      <c r="B217" s="968" t="s">
        <v>6582</v>
      </c>
      <c r="C217" s="969">
        <v>1</v>
      </c>
      <c r="D217" s="969" t="s">
        <v>6432</v>
      </c>
      <c r="E217" s="969">
        <v>3</v>
      </c>
      <c r="F217" s="970"/>
      <c r="G217" s="970"/>
      <c r="H217" s="970"/>
      <c r="I217" s="970">
        <f>ROUND(PRODUCT(C217:H217),2)</f>
        <v>3</v>
      </c>
    </row>
    <row r="218" spans="1:11" s="965" customFormat="1" ht="16.5" customHeight="1">
      <c r="A218" s="1208"/>
      <c r="B218" s="968"/>
      <c r="C218" s="971"/>
      <c r="D218" s="971"/>
      <c r="E218" s="1207" t="s">
        <v>2245</v>
      </c>
      <c r="F218" s="1207"/>
      <c r="G218" s="1207"/>
      <c r="H218" s="972">
        <f>ROUND(SUM(I214:I217),2)</f>
        <v>6</v>
      </c>
      <c r="I218" s="973" t="s">
        <v>1394</v>
      </c>
      <c r="J218" s="965">
        <v>5</v>
      </c>
    </row>
    <row r="219" spans="1:11" s="965" customFormat="1" ht="31.5" customHeight="1">
      <c r="A219" s="1208">
        <f>A213+1</f>
        <v>25</v>
      </c>
      <c r="B219" s="1206" t="s">
        <v>6403</v>
      </c>
      <c r="C219" s="1206"/>
      <c r="D219" s="1206"/>
      <c r="E219" s="1206"/>
      <c r="F219" s="1206"/>
      <c r="G219" s="1206"/>
      <c r="H219" s="1206"/>
      <c r="I219" s="1206"/>
    </row>
    <row r="220" spans="1:11" s="965" customFormat="1" ht="16.5" customHeight="1">
      <c r="A220" s="1208"/>
      <c r="B220" s="968" t="s">
        <v>6326</v>
      </c>
      <c r="C220" s="969">
        <v>1</v>
      </c>
      <c r="D220" s="969" t="s">
        <v>6432</v>
      </c>
      <c r="E220" s="969">
        <v>1</v>
      </c>
      <c r="F220" s="970"/>
      <c r="G220" s="970"/>
      <c r="H220" s="970"/>
      <c r="I220" s="970">
        <f>ROUND(PRODUCT(C220:H220),2)</f>
        <v>1</v>
      </c>
    </row>
    <row r="221" spans="1:11" s="965" customFormat="1" ht="16.5" customHeight="1">
      <c r="A221" s="1208"/>
      <c r="B221" s="968" t="s">
        <v>6495</v>
      </c>
      <c r="C221" s="969">
        <v>1</v>
      </c>
      <c r="D221" s="969" t="s">
        <v>6432</v>
      </c>
      <c r="E221" s="969">
        <v>1</v>
      </c>
      <c r="F221" s="970"/>
      <c r="G221" s="970"/>
      <c r="H221" s="970"/>
      <c r="I221" s="970">
        <f>ROUND(PRODUCT(C221:H221),2)</f>
        <v>1</v>
      </c>
    </row>
    <row r="222" spans="1:11" s="965" customFormat="1" ht="16.5" customHeight="1">
      <c r="A222" s="1208"/>
      <c r="B222" s="968" t="s">
        <v>6445</v>
      </c>
      <c r="C222" s="969">
        <v>1</v>
      </c>
      <c r="D222" s="969" t="s">
        <v>6432</v>
      </c>
      <c r="E222" s="969">
        <v>1</v>
      </c>
      <c r="F222" s="970"/>
      <c r="G222" s="970"/>
      <c r="H222" s="970"/>
      <c r="I222" s="970">
        <f>ROUND(PRODUCT(C222:H222),2)</f>
        <v>1</v>
      </c>
    </row>
    <row r="223" spans="1:11" s="965" customFormat="1" ht="16.5" customHeight="1">
      <c r="A223" s="1208"/>
      <c r="B223" s="968" t="s">
        <v>6462</v>
      </c>
      <c r="C223" s="969">
        <v>1</v>
      </c>
      <c r="D223" s="969" t="s">
        <v>6432</v>
      </c>
      <c r="E223" s="969">
        <v>3</v>
      </c>
      <c r="F223" s="970"/>
      <c r="G223" s="970"/>
      <c r="H223" s="970"/>
      <c r="I223" s="970">
        <f>ROUND(PRODUCT(C223:H223),2)</f>
        <v>3</v>
      </c>
    </row>
    <row r="224" spans="1:11" s="965" customFormat="1" ht="19.5" customHeight="1">
      <c r="A224" s="1208"/>
      <c r="B224" s="968"/>
      <c r="C224" s="971"/>
      <c r="D224" s="971"/>
      <c r="E224" s="1207" t="s">
        <v>2245</v>
      </c>
      <c r="F224" s="1207"/>
      <c r="G224" s="1207"/>
      <c r="H224" s="972">
        <f>ROUND(SUM(I220:I223),2)</f>
        <v>6</v>
      </c>
      <c r="I224" s="973" t="s">
        <v>1394</v>
      </c>
      <c r="J224" s="965">
        <v>5</v>
      </c>
    </row>
    <row r="225" spans="1:11" s="965" customFormat="1" ht="68.25" customHeight="1">
      <c r="A225" s="1205">
        <f>A219+1</f>
        <v>26</v>
      </c>
      <c r="B225" s="1206" t="s">
        <v>6404</v>
      </c>
      <c r="C225" s="1206"/>
      <c r="D225" s="1206"/>
      <c r="E225" s="1206"/>
      <c r="F225" s="1206"/>
      <c r="G225" s="1206"/>
      <c r="H225" s="1206"/>
      <c r="I225" s="1206"/>
      <c r="K225" s="966"/>
    </row>
    <row r="226" spans="1:11" s="965" customFormat="1" ht="25.5">
      <c r="A226" s="1205"/>
      <c r="B226" s="1017" t="s">
        <v>6502</v>
      </c>
      <c r="C226" s="969">
        <v>3</v>
      </c>
      <c r="D226" s="969" t="s">
        <v>6432</v>
      </c>
      <c r="E226" s="969">
        <v>1</v>
      </c>
      <c r="F226" s="970"/>
      <c r="G226" s="970"/>
      <c r="H226" s="970"/>
      <c r="I226" s="970">
        <f>ROUND(PRODUCT(C226:H226),2)</f>
        <v>3</v>
      </c>
    </row>
    <row r="227" spans="1:11" s="965" customFormat="1">
      <c r="A227" s="1205"/>
      <c r="B227" s="968" t="s">
        <v>6503</v>
      </c>
      <c r="C227" s="969">
        <v>2</v>
      </c>
      <c r="D227" s="969" t="s">
        <v>6432</v>
      </c>
      <c r="E227" s="969">
        <v>2</v>
      </c>
      <c r="F227" s="970"/>
      <c r="G227" s="970"/>
      <c r="H227" s="970"/>
      <c r="I227" s="970">
        <f>ROUND(PRODUCT(C227:H227),2)</f>
        <v>4</v>
      </c>
    </row>
    <row r="228" spans="1:11" s="965" customFormat="1">
      <c r="A228" s="1205"/>
      <c r="B228" s="968" t="s">
        <v>6462</v>
      </c>
      <c r="C228" s="969">
        <v>1</v>
      </c>
      <c r="D228" s="969" t="s">
        <v>6432</v>
      </c>
      <c r="E228" s="969">
        <v>2</v>
      </c>
      <c r="F228" s="970"/>
      <c r="G228" s="970"/>
      <c r="H228" s="970"/>
      <c r="I228" s="970">
        <f>ROUND(PRODUCT(C228:H228),2)</f>
        <v>2</v>
      </c>
    </row>
    <row r="229" spans="1:11" s="965" customFormat="1" ht="18.75" customHeight="1">
      <c r="A229" s="1205"/>
      <c r="B229" s="968"/>
      <c r="C229" s="971"/>
      <c r="D229" s="971"/>
      <c r="E229" s="1207" t="s">
        <v>2245</v>
      </c>
      <c r="F229" s="1207"/>
      <c r="G229" s="1207"/>
      <c r="H229" s="972">
        <f>ROUND(SUM(I226:I228),2)</f>
        <v>9</v>
      </c>
      <c r="I229" s="973" t="s">
        <v>1398</v>
      </c>
      <c r="J229" s="965">
        <v>221</v>
      </c>
    </row>
    <row r="230" spans="1:11" s="947" customFormat="1" ht="69" customHeight="1">
      <c r="A230" s="1204">
        <f>A225+1</f>
        <v>27</v>
      </c>
      <c r="B230" s="1196" t="s">
        <v>6405</v>
      </c>
      <c r="C230" s="1196"/>
      <c r="D230" s="1196"/>
      <c r="E230" s="1196"/>
      <c r="F230" s="1196"/>
      <c r="G230" s="1196"/>
      <c r="H230" s="1196"/>
      <c r="I230" s="1196"/>
    </row>
    <row r="231" spans="1:11" s="947" customFormat="1" ht="16.5" customHeight="1">
      <c r="A231" s="1204"/>
      <c r="B231" s="958" t="s">
        <v>6504</v>
      </c>
      <c r="C231" s="952">
        <v>1</v>
      </c>
      <c r="D231" s="952" t="s">
        <v>6432</v>
      </c>
      <c r="E231" s="1130">
        <v>2</v>
      </c>
      <c r="F231" s="959">
        <v>10.3</v>
      </c>
      <c r="G231" s="959"/>
      <c r="H231" s="959"/>
      <c r="I231" s="959">
        <f>ROUND(PRODUCT(C231:H231),2)</f>
        <v>20.6</v>
      </c>
    </row>
    <row r="232" spans="1:11" s="947" customFormat="1" ht="16.5" customHeight="1">
      <c r="A232" s="1204"/>
      <c r="B232" s="958" t="s">
        <v>6505</v>
      </c>
      <c r="C232" s="952">
        <v>1</v>
      </c>
      <c r="D232" s="952" t="s">
        <v>6432</v>
      </c>
      <c r="E232" s="1130">
        <v>2</v>
      </c>
      <c r="F232" s="959">
        <v>15.9</v>
      </c>
      <c r="G232" s="959"/>
      <c r="H232" s="959"/>
      <c r="I232" s="959">
        <f>ROUND(PRODUCT(C232:H232),2)</f>
        <v>31.8</v>
      </c>
    </row>
    <row r="233" spans="1:11" s="947" customFormat="1" ht="16.5" customHeight="1">
      <c r="A233" s="1204"/>
      <c r="B233" s="958" t="s">
        <v>6506</v>
      </c>
      <c r="C233" s="952">
        <v>1</v>
      </c>
      <c r="D233" s="952" t="s">
        <v>6432</v>
      </c>
      <c r="E233" s="1130">
        <v>2</v>
      </c>
      <c r="F233" s="959">
        <v>13</v>
      </c>
      <c r="G233" s="959"/>
      <c r="H233" s="959"/>
      <c r="I233" s="959">
        <f>ROUND(PRODUCT(C233:H233),2)</f>
        <v>26</v>
      </c>
    </row>
    <row r="234" spans="1:11" s="947" customFormat="1" ht="15" customHeight="1">
      <c r="A234" s="1204"/>
      <c r="B234" s="963" t="s">
        <v>6436</v>
      </c>
      <c r="C234" s="952"/>
      <c r="D234" s="952"/>
      <c r="E234" s="952"/>
      <c r="F234" s="959"/>
      <c r="G234" s="959"/>
      <c r="H234" s="959"/>
      <c r="I234" s="959"/>
    </row>
    <row r="235" spans="1:11" s="947" customFormat="1" ht="20.25" customHeight="1">
      <c r="A235" s="1204"/>
      <c r="B235" s="958"/>
      <c r="C235" s="964"/>
      <c r="D235" s="964"/>
      <c r="E235" s="1192" t="s">
        <v>2245</v>
      </c>
      <c r="F235" s="1192"/>
      <c r="G235" s="1192"/>
      <c r="H235" s="960">
        <f>ROUND(SUM(I231:I234),2)</f>
        <v>78.400000000000006</v>
      </c>
      <c r="I235" s="962" t="s">
        <v>826</v>
      </c>
      <c r="J235" s="947">
        <v>12</v>
      </c>
    </row>
    <row r="236" spans="1:11" s="947" customFormat="1" ht="69" customHeight="1">
      <c r="A236" s="1204">
        <f>A230+1</f>
        <v>28</v>
      </c>
      <c r="B236" s="1196" t="s">
        <v>6406</v>
      </c>
      <c r="C236" s="1196"/>
      <c r="D236" s="1196"/>
      <c r="E236" s="1196"/>
      <c r="F236" s="1196"/>
      <c r="G236" s="1196"/>
      <c r="H236" s="1196"/>
      <c r="I236" s="1196"/>
    </row>
    <row r="237" spans="1:11" s="947" customFormat="1" ht="16.5" customHeight="1">
      <c r="A237" s="1204"/>
      <c r="B237" s="958" t="s">
        <v>6507</v>
      </c>
      <c r="C237" s="952">
        <v>1</v>
      </c>
      <c r="D237" s="952" t="s">
        <v>6432</v>
      </c>
      <c r="E237" s="952">
        <v>1</v>
      </c>
      <c r="F237" s="1131">
        <v>25</v>
      </c>
      <c r="G237" s="959"/>
      <c r="H237" s="959"/>
      <c r="I237" s="959">
        <f>ROUND(PRODUCT(C237:H237),2)</f>
        <v>25</v>
      </c>
    </row>
    <row r="238" spans="1:11" s="947" customFormat="1" ht="16.5" customHeight="1">
      <c r="A238" s="1204"/>
      <c r="B238" s="958" t="s">
        <v>6508</v>
      </c>
      <c r="C238" s="952">
        <v>1</v>
      </c>
      <c r="D238" s="952" t="s">
        <v>6432</v>
      </c>
      <c r="E238" s="952">
        <v>1</v>
      </c>
      <c r="F238" s="1131">
        <v>25</v>
      </c>
      <c r="G238" s="959"/>
      <c r="H238" s="959"/>
      <c r="I238" s="959">
        <f>ROUND(PRODUCT(C238:H238),2)</f>
        <v>25</v>
      </c>
    </row>
    <row r="239" spans="1:11" s="947" customFormat="1" ht="16.5" customHeight="1">
      <c r="A239" s="1204"/>
      <c r="B239" s="958" t="s">
        <v>6509</v>
      </c>
      <c r="C239" s="952">
        <v>1</v>
      </c>
      <c r="D239" s="952" t="s">
        <v>6432</v>
      </c>
      <c r="E239" s="952">
        <v>1</v>
      </c>
      <c r="F239" s="1131">
        <v>24</v>
      </c>
      <c r="G239" s="959"/>
      <c r="H239" s="959"/>
      <c r="I239" s="959">
        <f>ROUND(PRODUCT(C239:H239),2)</f>
        <v>24</v>
      </c>
    </row>
    <row r="240" spans="1:11" s="947" customFormat="1" ht="15" customHeight="1">
      <c r="A240" s="1204"/>
      <c r="B240" s="963" t="s">
        <v>6436</v>
      </c>
      <c r="C240" s="952"/>
      <c r="D240" s="952"/>
      <c r="E240" s="952"/>
      <c r="F240" s="959"/>
      <c r="G240" s="959"/>
      <c r="H240" s="959"/>
      <c r="I240" s="959"/>
    </row>
    <row r="241" spans="1:11" s="947" customFormat="1" ht="20.25" customHeight="1">
      <c r="A241" s="1204"/>
      <c r="B241" s="958"/>
      <c r="C241" s="964"/>
      <c r="D241" s="964"/>
      <c r="E241" s="1192" t="s">
        <v>2245</v>
      </c>
      <c r="F241" s="1192"/>
      <c r="G241" s="1192"/>
      <c r="H241" s="960">
        <f>ROUND(SUM(I237:I240),2)</f>
        <v>74</v>
      </c>
      <c r="I241" s="962" t="s">
        <v>826</v>
      </c>
      <c r="J241" s="947">
        <v>12</v>
      </c>
    </row>
    <row r="242" spans="1:11" s="981" customFormat="1" ht="52.5" hidden="1" customHeight="1">
      <c r="A242" s="1200">
        <v>11</v>
      </c>
      <c r="B242" s="1201" t="s">
        <v>6511</v>
      </c>
      <c r="C242" s="1202"/>
      <c r="D242" s="1202"/>
      <c r="E242" s="1202"/>
      <c r="F242" s="1202"/>
      <c r="G242" s="1202"/>
      <c r="H242" s="1202"/>
      <c r="I242" s="1202"/>
      <c r="K242" s="982"/>
    </row>
    <row r="243" spans="1:11" s="1026" customFormat="1" ht="15.75" hidden="1">
      <c r="A243" s="1200"/>
      <c r="B243" s="983"/>
      <c r="C243" s="984">
        <v>1</v>
      </c>
      <c r="D243" s="984" t="s">
        <v>6432</v>
      </c>
      <c r="E243" s="984">
        <v>4</v>
      </c>
      <c r="F243" s="985"/>
      <c r="G243" s="985"/>
      <c r="H243" s="985"/>
      <c r="I243" s="985">
        <f>ROUND(PRODUCT(C243:H243),2)</f>
        <v>4</v>
      </c>
    </row>
    <row r="244" spans="1:11" s="981" customFormat="1" hidden="1">
      <c r="A244" s="1200"/>
      <c r="B244" s="983"/>
      <c r="C244" s="987"/>
      <c r="D244" s="987"/>
      <c r="E244" s="1203" t="s">
        <v>2245</v>
      </c>
      <c r="F244" s="1203"/>
      <c r="G244" s="1203"/>
      <c r="H244" s="988"/>
      <c r="I244" s="989" t="s">
        <v>1398</v>
      </c>
      <c r="J244" s="981">
        <v>37460</v>
      </c>
      <c r="K244" s="982"/>
    </row>
    <row r="245" spans="1:11" s="947" customFormat="1" ht="52.5" customHeight="1">
      <c r="A245" s="1194">
        <f>A236+1</f>
        <v>29</v>
      </c>
      <c r="B245" s="1195" t="str">
        <f>'[8] Abstract'!C45</f>
        <v>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v>
      </c>
      <c r="C245" s="1196"/>
      <c r="D245" s="1196"/>
      <c r="E245" s="1196"/>
      <c r="F245" s="1196"/>
      <c r="G245" s="1196"/>
      <c r="H245" s="1196"/>
      <c r="I245" s="1196"/>
      <c r="K245" s="961"/>
    </row>
    <row r="246" spans="1:11" s="947" customFormat="1" ht="22.5" customHeight="1">
      <c r="A246" s="1194"/>
      <c r="B246" s="1095" t="s">
        <v>6495</v>
      </c>
      <c r="C246" s="1096">
        <v>1</v>
      </c>
      <c r="D246" s="1096" t="s">
        <v>6432</v>
      </c>
      <c r="E246" s="1096">
        <v>1</v>
      </c>
      <c r="F246" s="1097">
        <v>12.7</v>
      </c>
      <c r="G246" s="1097"/>
      <c r="H246" s="1097">
        <v>3.2</v>
      </c>
      <c r="I246" s="1097">
        <f t="shared" ref="I246:I301" si="4">ROUND(PRODUCT(C246:H246),2)</f>
        <v>40.64</v>
      </c>
      <c r="K246" s="961"/>
    </row>
    <row r="247" spans="1:11" s="947" customFormat="1" ht="22.5" customHeight="1">
      <c r="A247" s="1194"/>
      <c r="B247" s="1095" t="s">
        <v>6604</v>
      </c>
      <c r="C247" s="1096">
        <v>-1</v>
      </c>
      <c r="D247" s="1096" t="s">
        <v>6432</v>
      </c>
      <c r="E247" s="1096">
        <v>1</v>
      </c>
      <c r="F247" s="1097">
        <v>0.9</v>
      </c>
      <c r="G247" s="1097"/>
      <c r="H247" s="1097">
        <v>2.1</v>
      </c>
      <c r="I247" s="1097">
        <f t="shared" si="4"/>
        <v>-1.89</v>
      </c>
      <c r="K247" s="961"/>
    </row>
    <row r="248" spans="1:11" s="947" customFormat="1" ht="22.5" customHeight="1">
      <c r="A248" s="1194"/>
      <c r="B248" s="1095" t="s">
        <v>6605</v>
      </c>
      <c r="C248" s="1096">
        <v>-1</v>
      </c>
      <c r="D248" s="1096" t="s">
        <v>6432</v>
      </c>
      <c r="E248" s="1096">
        <v>1</v>
      </c>
      <c r="F248" s="1097">
        <v>0.75</v>
      </c>
      <c r="G248" s="1097"/>
      <c r="H248" s="1097">
        <v>2.1</v>
      </c>
      <c r="I248" s="1097">
        <f t="shared" si="4"/>
        <v>-1.58</v>
      </c>
      <c r="K248" s="961"/>
    </row>
    <row r="249" spans="1:11" s="947" customFormat="1" ht="22.5" customHeight="1">
      <c r="A249" s="1194"/>
      <c r="B249" s="1095" t="s">
        <v>6606</v>
      </c>
      <c r="C249" s="1096">
        <v>-1</v>
      </c>
      <c r="D249" s="1096" t="s">
        <v>6432</v>
      </c>
      <c r="E249" s="1096">
        <v>1</v>
      </c>
      <c r="F249" s="1097">
        <v>1.5</v>
      </c>
      <c r="G249" s="1097"/>
      <c r="H249" s="1097">
        <v>1.35</v>
      </c>
      <c r="I249" s="1097">
        <f t="shared" si="4"/>
        <v>-2.0299999999999998</v>
      </c>
      <c r="K249" s="961"/>
    </row>
    <row r="250" spans="1:11" s="947" customFormat="1" ht="22.5" customHeight="1">
      <c r="A250" s="1194"/>
      <c r="B250" s="1095" t="s">
        <v>6607</v>
      </c>
      <c r="C250" s="1096">
        <v>-1</v>
      </c>
      <c r="D250" s="1096" t="s">
        <v>6432</v>
      </c>
      <c r="E250" s="1096">
        <v>1</v>
      </c>
      <c r="F250" s="1097">
        <v>1</v>
      </c>
      <c r="G250" s="1097"/>
      <c r="H250" s="1097">
        <v>1.35</v>
      </c>
      <c r="I250" s="1097">
        <f t="shared" si="4"/>
        <v>-1.35</v>
      </c>
      <c r="K250" s="961"/>
    </row>
    <row r="251" spans="1:11" s="947" customFormat="1" ht="22.5" customHeight="1">
      <c r="A251" s="1194"/>
      <c r="B251" s="1129" t="s">
        <v>6512</v>
      </c>
      <c r="C251" s="1096">
        <v>1</v>
      </c>
      <c r="D251" s="1096" t="s">
        <v>6432</v>
      </c>
      <c r="E251" s="1096">
        <v>1</v>
      </c>
      <c r="F251" s="1097">
        <v>12</v>
      </c>
      <c r="G251" s="1097"/>
      <c r="H251" s="1097">
        <v>3.2</v>
      </c>
      <c r="I251" s="1097">
        <f>ROUND(PRODUCT(C251:H251),2)</f>
        <v>38.4</v>
      </c>
      <c r="K251" s="961"/>
    </row>
    <row r="252" spans="1:11" s="947" customFormat="1" ht="22.5" customHeight="1">
      <c r="A252" s="1194"/>
      <c r="B252" s="1095" t="s">
        <v>6604</v>
      </c>
      <c r="C252" s="1096">
        <v>-1</v>
      </c>
      <c r="D252" s="1096" t="s">
        <v>6432</v>
      </c>
      <c r="E252" s="1096">
        <v>1</v>
      </c>
      <c r="F252" s="1097">
        <v>0.9</v>
      </c>
      <c r="G252" s="1097"/>
      <c r="H252" s="1097">
        <v>2.1</v>
      </c>
      <c r="I252" s="1097">
        <f t="shared" ref="I252:I254" si="5">ROUND(PRODUCT(C252:H252),2)</f>
        <v>-1.89</v>
      </c>
      <c r="K252" s="961"/>
    </row>
    <row r="253" spans="1:11" s="947" customFormat="1" ht="22.5" customHeight="1">
      <c r="A253" s="1194"/>
      <c r="B253" s="1095" t="s">
        <v>6605</v>
      </c>
      <c r="C253" s="1096">
        <v>-1</v>
      </c>
      <c r="D253" s="1096" t="s">
        <v>6432</v>
      </c>
      <c r="E253" s="1096">
        <v>1</v>
      </c>
      <c r="F253" s="1097">
        <v>0.75</v>
      </c>
      <c r="G253" s="1097"/>
      <c r="H253" s="1097">
        <v>2.1</v>
      </c>
      <c r="I253" s="1097">
        <f t="shared" si="5"/>
        <v>-1.58</v>
      </c>
      <c r="K253" s="961"/>
    </row>
    <row r="254" spans="1:11" s="947" customFormat="1" ht="22.5" customHeight="1">
      <c r="A254" s="1194"/>
      <c r="B254" s="1095" t="s">
        <v>6607</v>
      </c>
      <c r="C254" s="1096">
        <v>-1</v>
      </c>
      <c r="D254" s="1096" t="s">
        <v>6432</v>
      </c>
      <c r="E254" s="1096">
        <v>1</v>
      </c>
      <c r="F254" s="1097">
        <v>1</v>
      </c>
      <c r="G254" s="1097"/>
      <c r="H254" s="1097">
        <v>1.35</v>
      </c>
      <c r="I254" s="1097">
        <f t="shared" si="5"/>
        <v>-1.35</v>
      </c>
      <c r="K254" s="961"/>
    </row>
    <row r="255" spans="1:11" s="947" customFormat="1" ht="22.5" customHeight="1">
      <c r="A255" s="1194"/>
      <c r="B255" s="1129" t="s">
        <v>6513</v>
      </c>
      <c r="C255" s="1096">
        <v>1</v>
      </c>
      <c r="D255" s="1096" t="s">
        <v>6432</v>
      </c>
      <c r="E255" s="1096">
        <v>2</v>
      </c>
      <c r="F255" s="1097">
        <v>6.1</v>
      </c>
      <c r="G255" s="1097"/>
      <c r="H255" s="1097">
        <v>3.2</v>
      </c>
      <c r="I255" s="1097">
        <f>ROUND(PRODUCT(C255:H255),2)</f>
        <v>39.04</v>
      </c>
      <c r="K255" s="961"/>
    </row>
    <row r="256" spans="1:11" s="947" customFormat="1" ht="22.5" customHeight="1">
      <c r="A256" s="1194"/>
      <c r="B256" s="1095" t="s">
        <v>6605</v>
      </c>
      <c r="C256" s="1096">
        <v>-2</v>
      </c>
      <c r="D256" s="1096" t="s">
        <v>6432</v>
      </c>
      <c r="E256" s="1096">
        <v>1</v>
      </c>
      <c r="F256" s="1097">
        <v>0.75</v>
      </c>
      <c r="G256" s="1097"/>
      <c r="H256" s="1097">
        <v>2.1</v>
      </c>
      <c r="I256" s="1097">
        <f t="shared" ref="I256" si="6">ROUND(PRODUCT(C256:H256),2)</f>
        <v>-3.15</v>
      </c>
      <c r="K256" s="961"/>
    </row>
    <row r="257" spans="1:11" s="947" customFormat="1" ht="22.5" customHeight="1">
      <c r="A257" s="1194"/>
      <c r="B257" s="1129" t="s">
        <v>6514</v>
      </c>
      <c r="C257" s="1096">
        <v>1</v>
      </c>
      <c r="D257" s="1096" t="s">
        <v>6432</v>
      </c>
      <c r="E257" s="1096">
        <v>1</v>
      </c>
      <c r="F257" s="1097">
        <v>11</v>
      </c>
      <c r="G257" s="1097"/>
      <c r="H257" s="1097">
        <v>3.2</v>
      </c>
      <c r="I257" s="1097">
        <f t="shared" si="4"/>
        <v>35.200000000000003</v>
      </c>
      <c r="K257" s="961"/>
    </row>
    <row r="258" spans="1:11" s="947" customFormat="1" ht="22.5" customHeight="1">
      <c r="A258" s="1194"/>
      <c r="B258" s="1095" t="s">
        <v>6604</v>
      </c>
      <c r="C258" s="1096">
        <v>-1</v>
      </c>
      <c r="D258" s="1096" t="s">
        <v>6432</v>
      </c>
      <c r="E258" s="1096">
        <v>1</v>
      </c>
      <c r="F258" s="1097">
        <v>0.9</v>
      </c>
      <c r="G258" s="1097"/>
      <c r="H258" s="1097">
        <v>2.1</v>
      </c>
      <c r="I258" s="1097">
        <f t="shared" si="4"/>
        <v>-1.89</v>
      </c>
      <c r="K258" s="961"/>
    </row>
    <row r="259" spans="1:11" s="947" customFormat="1" ht="22.5" customHeight="1">
      <c r="A259" s="1194"/>
      <c r="B259" s="1095" t="s">
        <v>6520</v>
      </c>
      <c r="C259" s="1096">
        <v>-1</v>
      </c>
      <c r="D259" s="1096" t="s">
        <v>6468</v>
      </c>
      <c r="E259" s="1096">
        <v>1</v>
      </c>
      <c r="F259" s="1097">
        <v>1.1000000000000001</v>
      </c>
      <c r="G259" s="1097"/>
      <c r="H259" s="1097">
        <v>0.6</v>
      </c>
      <c r="I259" s="1097">
        <f t="shared" si="4"/>
        <v>-0.66</v>
      </c>
      <c r="K259" s="961"/>
    </row>
    <row r="260" spans="1:11" s="947" customFormat="1" ht="22.5" customHeight="1">
      <c r="A260" s="1194"/>
      <c r="B260" s="1095" t="s">
        <v>6446</v>
      </c>
      <c r="C260" s="1096">
        <v>1</v>
      </c>
      <c r="D260" s="1096" t="s">
        <v>6432</v>
      </c>
      <c r="E260" s="1096">
        <v>1</v>
      </c>
      <c r="F260" s="1097">
        <v>16.7</v>
      </c>
      <c r="G260" s="1097"/>
      <c r="H260" s="1097">
        <v>3.2</v>
      </c>
      <c r="I260" s="1097">
        <f t="shared" si="4"/>
        <v>53.44</v>
      </c>
      <c r="K260" s="961"/>
    </row>
    <row r="261" spans="1:11" s="947" customFormat="1" ht="22.5" customHeight="1">
      <c r="A261" s="1194"/>
      <c r="B261" s="1095" t="s">
        <v>6604</v>
      </c>
      <c r="C261" s="1096">
        <v>-2</v>
      </c>
      <c r="D261" s="1096" t="s">
        <v>6432</v>
      </c>
      <c r="E261" s="1096">
        <v>1</v>
      </c>
      <c r="F261" s="1097">
        <v>0.9</v>
      </c>
      <c r="G261" s="1097"/>
      <c r="H261" s="1097">
        <v>2.1</v>
      </c>
      <c r="I261" s="1097">
        <f t="shared" si="4"/>
        <v>-3.78</v>
      </c>
      <c r="K261" s="961"/>
    </row>
    <row r="262" spans="1:11" s="947" customFormat="1" ht="22.5" customHeight="1">
      <c r="A262" s="1194"/>
      <c r="B262" s="1129" t="s">
        <v>6515</v>
      </c>
      <c r="C262" s="1096">
        <v>1</v>
      </c>
      <c r="D262" s="1096" t="s">
        <v>6432</v>
      </c>
      <c r="E262" s="1096">
        <v>1</v>
      </c>
      <c r="F262" s="1097">
        <v>5.4</v>
      </c>
      <c r="G262" s="1097"/>
      <c r="H262" s="1097">
        <v>3.2</v>
      </c>
      <c r="I262" s="1097">
        <f>ROUND(PRODUCT(C262:H262),2)</f>
        <v>17.28</v>
      </c>
      <c r="K262" s="961"/>
    </row>
    <row r="263" spans="1:11" s="947" customFormat="1" ht="22.5" customHeight="1">
      <c r="A263" s="1194"/>
      <c r="B263" s="1095" t="s">
        <v>6608</v>
      </c>
      <c r="C263" s="1096">
        <v>-1</v>
      </c>
      <c r="D263" s="1096" t="s">
        <v>6468</v>
      </c>
      <c r="E263" s="1096">
        <v>1</v>
      </c>
      <c r="F263" s="1097">
        <v>0.6</v>
      </c>
      <c r="G263" s="1097"/>
      <c r="H263" s="1097">
        <v>0.6</v>
      </c>
      <c r="I263" s="1097">
        <f t="shared" ref="I263:I264" si="7">ROUND(PRODUCT(C263:H263),2)</f>
        <v>-0.36</v>
      </c>
      <c r="K263" s="961"/>
    </row>
    <row r="264" spans="1:11" s="947" customFormat="1" ht="22.5" customHeight="1">
      <c r="A264" s="1194"/>
      <c r="B264" s="1095" t="s">
        <v>6605</v>
      </c>
      <c r="C264" s="1096">
        <v>-2</v>
      </c>
      <c r="D264" s="1096" t="s">
        <v>6432</v>
      </c>
      <c r="E264" s="1096">
        <v>1</v>
      </c>
      <c r="F264" s="1097">
        <v>0.75</v>
      </c>
      <c r="G264" s="1097"/>
      <c r="H264" s="1097">
        <v>2.1</v>
      </c>
      <c r="I264" s="1097">
        <f t="shared" si="7"/>
        <v>-3.15</v>
      </c>
      <c r="K264" s="961"/>
    </row>
    <row r="265" spans="1:11" s="947" customFormat="1" ht="22.5" customHeight="1">
      <c r="A265" s="1194"/>
      <c r="B265" s="1129" t="s">
        <v>6376</v>
      </c>
      <c r="C265" s="1096">
        <v>1</v>
      </c>
      <c r="D265" s="1096" t="s">
        <v>6432</v>
      </c>
      <c r="E265" s="1096">
        <v>1</v>
      </c>
      <c r="F265" s="1097">
        <v>4.2</v>
      </c>
      <c r="G265" s="1097"/>
      <c r="H265" s="1097">
        <v>3.2</v>
      </c>
      <c r="I265" s="1097">
        <f t="shared" si="4"/>
        <v>13.44</v>
      </c>
      <c r="K265" s="961"/>
    </row>
    <row r="266" spans="1:11" s="947" customFormat="1" ht="22.5" customHeight="1">
      <c r="A266" s="1194"/>
      <c r="B266" s="1095" t="s">
        <v>6605</v>
      </c>
      <c r="C266" s="1096">
        <v>-2</v>
      </c>
      <c r="D266" s="1096" t="s">
        <v>6432</v>
      </c>
      <c r="E266" s="1096">
        <v>1</v>
      </c>
      <c r="F266" s="1097">
        <v>0.75</v>
      </c>
      <c r="G266" s="1097"/>
      <c r="H266" s="1097">
        <v>2.1</v>
      </c>
      <c r="I266" s="1097">
        <f t="shared" si="4"/>
        <v>-3.15</v>
      </c>
      <c r="K266" s="961"/>
    </row>
    <row r="267" spans="1:11" s="947" customFormat="1" ht="22.5" customHeight="1">
      <c r="A267" s="1194"/>
      <c r="B267" s="1095" t="s">
        <v>6608</v>
      </c>
      <c r="C267" s="1096">
        <v>-1</v>
      </c>
      <c r="D267" s="1096" t="s">
        <v>6468</v>
      </c>
      <c r="E267" s="1096">
        <v>1</v>
      </c>
      <c r="F267" s="1097">
        <v>0.6</v>
      </c>
      <c r="G267" s="1097"/>
      <c r="H267" s="1097">
        <v>0.6</v>
      </c>
      <c r="I267" s="1097">
        <f t="shared" si="4"/>
        <v>-0.36</v>
      </c>
      <c r="K267" s="961"/>
    </row>
    <row r="268" spans="1:11" s="947" customFormat="1" ht="22.5" customHeight="1">
      <c r="A268" s="1194"/>
      <c r="B268" s="1129" t="s">
        <v>6493</v>
      </c>
      <c r="C268" s="1096">
        <v>1</v>
      </c>
      <c r="D268" s="1096" t="s">
        <v>6432</v>
      </c>
      <c r="E268" s="1096">
        <v>1</v>
      </c>
      <c r="F268" s="1097">
        <v>6.24</v>
      </c>
      <c r="G268" s="1097"/>
      <c r="H268" s="1097">
        <v>3.2</v>
      </c>
      <c r="I268" s="1097">
        <f>ROUND(PRODUCT(C268:H268),2)</f>
        <v>19.97</v>
      </c>
      <c r="K268" s="961"/>
    </row>
    <row r="269" spans="1:11" s="947" customFormat="1" ht="22.5" customHeight="1">
      <c r="A269" s="1194"/>
      <c r="B269" s="1095" t="s">
        <v>6604</v>
      </c>
      <c r="C269" s="1096">
        <v>-1</v>
      </c>
      <c r="D269" s="1096" t="s">
        <v>6432</v>
      </c>
      <c r="E269" s="1096">
        <v>1</v>
      </c>
      <c r="F269" s="1097">
        <v>0.9</v>
      </c>
      <c r="G269" s="1097"/>
      <c r="H269" s="1097">
        <v>2.1</v>
      </c>
      <c r="I269" s="1097">
        <f t="shared" ref="I269" si="8">ROUND(PRODUCT(C269:H269),2)</f>
        <v>-1.89</v>
      </c>
      <c r="K269" s="961"/>
    </row>
    <row r="270" spans="1:11" s="947" customFormat="1" ht="22.5" customHeight="1">
      <c r="A270" s="1194"/>
      <c r="B270" s="1095" t="s">
        <v>6374</v>
      </c>
      <c r="C270" s="1096">
        <v>1</v>
      </c>
      <c r="D270" s="1096" t="s">
        <v>6432</v>
      </c>
      <c r="E270" s="1096">
        <v>1</v>
      </c>
      <c r="F270" s="1097">
        <v>17.2</v>
      </c>
      <c r="G270" s="1097"/>
      <c r="H270" s="1097">
        <v>3.2</v>
      </c>
      <c r="I270" s="1097">
        <f t="shared" si="4"/>
        <v>55.04</v>
      </c>
      <c r="K270" s="961"/>
    </row>
    <row r="271" spans="1:11" s="947" customFormat="1" ht="22.5" customHeight="1">
      <c r="A271" s="1194"/>
      <c r="B271" s="1095" t="s">
        <v>6609</v>
      </c>
      <c r="C271" s="1096">
        <v>-1</v>
      </c>
      <c r="D271" s="1096" t="s">
        <v>6468</v>
      </c>
      <c r="E271" s="1096">
        <v>2</v>
      </c>
      <c r="F271" s="1097">
        <v>1</v>
      </c>
      <c r="G271" s="1097"/>
      <c r="H271" s="1097">
        <v>2.1</v>
      </c>
      <c r="I271" s="1097">
        <f t="shared" si="4"/>
        <v>-4.2</v>
      </c>
      <c r="K271" s="961"/>
    </row>
    <row r="272" spans="1:11" s="947" customFormat="1" ht="22.5" customHeight="1">
      <c r="A272" s="1194"/>
      <c r="B272" s="1095" t="s">
        <v>6520</v>
      </c>
      <c r="C272" s="1096">
        <v>-1</v>
      </c>
      <c r="D272" s="1096" t="s">
        <v>6468</v>
      </c>
      <c r="E272" s="1096">
        <v>2</v>
      </c>
      <c r="F272" s="1097">
        <v>1.1000000000000001</v>
      </c>
      <c r="G272" s="1097"/>
      <c r="H272" s="1097">
        <v>0.6</v>
      </c>
      <c r="I272" s="1097">
        <f t="shared" si="4"/>
        <v>-1.32</v>
      </c>
      <c r="K272" s="961"/>
    </row>
    <row r="273" spans="1:11" s="947" customFormat="1" ht="22.5" customHeight="1">
      <c r="A273" s="1194"/>
      <c r="B273" s="1129" t="s">
        <v>6462</v>
      </c>
      <c r="C273" s="1096">
        <v>1</v>
      </c>
      <c r="D273" s="1096" t="s">
        <v>6432</v>
      </c>
      <c r="E273" s="1096">
        <v>1</v>
      </c>
      <c r="F273" s="1097">
        <v>26</v>
      </c>
      <c r="G273" s="1097"/>
      <c r="H273" s="1097">
        <v>4.2</v>
      </c>
      <c r="I273" s="1097">
        <f>ROUND(PRODUCT(C273:H273),2)</f>
        <v>109.2</v>
      </c>
      <c r="K273" s="961"/>
    </row>
    <row r="274" spans="1:11" s="947" customFormat="1" ht="22.5" customHeight="1">
      <c r="A274" s="1194"/>
      <c r="B274" s="1095" t="s">
        <v>6604</v>
      </c>
      <c r="C274" s="1096">
        <v>-4</v>
      </c>
      <c r="D274" s="1096" t="s">
        <v>6432</v>
      </c>
      <c r="E274" s="1096">
        <v>1</v>
      </c>
      <c r="F274" s="1097">
        <v>0.9</v>
      </c>
      <c r="G274" s="1097"/>
      <c r="H274" s="1097">
        <v>2.1</v>
      </c>
      <c r="I274" s="1097">
        <f t="shared" ref="I274:I276" si="9">ROUND(PRODUCT(C274:H274),2)</f>
        <v>-7.56</v>
      </c>
      <c r="K274" s="961"/>
    </row>
    <row r="275" spans="1:11" s="947" customFormat="1" ht="22.5" customHeight="1">
      <c r="A275" s="1194"/>
      <c r="B275" s="1095" t="s">
        <v>6609</v>
      </c>
      <c r="C275" s="1096">
        <v>-1</v>
      </c>
      <c r="D275" s="1096" t="s">
        <v>6468</v>
      </c>
      <c r="E275" s="1096">
        <v>4</v>
      </c>
      <c r="F275" s="1097">
        <v>1</v>
      </c>
      <c r="G275" s="1097"/>
      <c r="H275" s="1097">
        <v>2.1</v>
      </c>
      <c r="I275" s="1097">
        <f t="shared" si="9"/>
        <v>-8.4</v>
      </c>
      <c r="K275" s="961"/>
    </row>
    <row r="276" spans="1:11" s="947" customFormat="1" ht="20.25" customHeight="1">
      <c r="A276" s="1194"/>
      <c r="B276" s="1095" t="s">
        <v>6610</v>
      </c>
      <c r="C276" s="1096">
        <v>-1</v>
      </c>
      <c r="D276" s="1096" t="s">
        <v>6432</v>
      </c>
      <c r="E276" s="1096">
        <v>1</v>
      </c>
      <c r="F276" s="1097">
        <v>1.5</v>
      </c>
      <c r="G276" s="1097"/>
      <c r="H276" s="1097">
        <v>2.1</v>
      </c>
      <c r="I276" s="1097">
        <f t="shared" si="9"/>
        <v>-3.15</v>
      </c>
      <c r="K276" s="961"/>
    </row>
    <row r="277" spans="1:11" s="947" customFormat="1" ht="20.25" customHeight="1">
      <c r="A277" s="1194"/>
      <c r="B277" s="1129" t="s">
        <v>6326</v>
      </c>
      <c r="C277" s="1096">
        <v>1</v>
      </c>
      <c r="D277" s="1096" t="s">
        <v>6432</v>
      </c>
      <c r="E277" s="1096">
        <v>1</v>
      </c>
      <c r="F277" s="1097">
        <v>18.600000000000001</v>
      </c>
      <c r="G277" s="1097"/>
      <c r="H277" s="1097">
        <v>3.2</v>
      </c>
      <c r="I277" s="1097">
        <f t="shared" si="4"/>
        <v>59.52</v>
      </c>
      <c r="K277" s="961"/>
    </row>
    <row r="278" spans="1:11" s="947" customFormat="1" ht="20.25" customHeight="1">
      <c r="A278" s="1194"/>
      <c r="B278" s="1095" t="s">
        <v>6611</v>
      </c>
      <c r="C278" s="1096">
        <v>-1</v>
      </c>
      <c r="D278" s="1096" t="s">
        <v>6468</v>
      </c>
      <c r="E278" s="1096">
        <v>1</v>
      </c>
      <c r="F278" s="1097">
        <v>1.75</v>
      </c>
      <c r="G278" s="1097"/>
      <c r="H278" s="1097">
        <v>2.1</v>
      </c>
      <c r="I278" s="1097">
        <f t="shared" si="4"/>
        <v>-3.68</v>
      </c>
      <c r="K278" s="961"/>
    </row>
    <row r="279" spans="1:11" s="947" customFormat="1" ht="20.25" customHeight="1">
      <c r="A279" s="1194"/>
      <c r="B279" s="1095" t="s">
        <v>6604</v>
      </c>
      <c r="C279" s="1096">
        <v>-2</v>
      </c>
      <c r="D279" s="1096" t="s">
        <v>6432</v>
      </c>
      <c r="E279" s="1096">
        <v>1</v>
      </c>
      <c r="F279" s="1097">
        <v>0.9</v>
      </c>
      <c r="G279" s="1097"/>
      <c r="H279" s="1097">
        <v>2.1</v>
      </c>
      <c r="I279" s="1097">
        <f t="shared" si="4"/>
        <v>-3.78</v>
      </c>
      <c r="K279" s="961"/>
    </row>
    <row r="280" spans="1:11" s="947" customFormat="1" ht="20.25" customHeight="1">
      <c r="A280" s="1194"/>
      <c r="B280" s="1095" t="s">
        <v>6610</v>
      </c>
      <c r="C280" s="1096">
        <v>-1</v>
      </c>
      <c r="D280" s="1096" t="s">
        <v>6432</v>
      </c>
      <c r="E280" s="1096">
        <v>2</v>
      </c>
      <c r="F280" s="1097">
        <v>1.5</v>
      </c>
      <c r="G280" s="1097"/>
      <c r="H280" s="1097">
        <v>2.1</v>
      </c>
      <c r="I280" s="1097">
        <f t="shared" si="4"/>
        <v>-6.3</v>
      </c>
      <c r="K280" s="961"/>
    </row>
    <row r="281" spans="1:11" s="947" customFormat="1" ht="20.25" customHeight="1">
      <c r="A281" s="1194"/>
      <c r="B281" s="1129" t="s">
        <v>6445</v>
      </c>
      <c r="C281" s="1096">
        <v>1</v>
      </c>
      <c r="D281" s="1096" t="s">
        <v>6432</v>
      </c>
      <c r="E281" s="1096">
        <v>1</v>
      </c>
      <c r="F281" s="1097">
        <v>12.9</v>
      </c>
      <c r="G281" s="1097"/>
      <c r="H281" s="1097">
        <v>3.2</v>
      </c>
      <c r="I281" s="1097">
        <f>ROUND(PRODUCT(C281:H281),2)</f>
        <v>41.28</v>
      </c>
      <c r="K281" s="961"/>
    </row>
    <row r="282" spans="1:11" s="947" customFormat="1" ht="20.25" customHeight="1">
      <c r="A282" s="1194"/>
      <c r="B282" s="1095" t="s">
        <v>6606</v>
      </c>
      <c r="C282" s="1096">
        <v>-1</v>
      </c>
      <c r="D282" s="1096" t="s">
        <v>6432</v>
      </c>
      <c r="E282" s="1096">
        <v>1</v>
      </c>
      <c r="F282" s="1097">
        <v>1.5</v>
      </c>
      <c r="G282" s="1097"/>
      <c r="H282" s="1097">
        <v>1.35</v>
      </c>
      <c r="I282" s="1097">
        <f t="shared" ref="I282:I284" si="10">ROUND(PRODUCT(C282:H282),2)</f>
        <v>-2.0299999999999998</v>
      </c>
      <c r="K282" s="961"/>
    </row>
    <row r="283" spans="1:11" s="1004" customFormat="1" ht="15.75">
      <c r="A283" s="1194"/>
      <c r="B283" s="1095" t="s">
        <v>6607</v>
      </c>
      <c r="C283" s="1096">
        <v>-1</v>
      </c>
      <c r="D283" s="1096" t="s">
        <v>6432</v>
      </c>
      <c r="E283" s="1096">
        <v>1</v>
      </c>
      <c r="F283" s="1097">
        <v>1</v>
      </c>
      <c r="G283" s="1097"/>
      <c r="H283" s="1097">
        <v>1.35</v>
      </c>
      <c r="I283" s="1097">
        <f t="shared" si="10"/>
        <v>-1.35</v>
      </c>
    </row>
    <row r="284" spans="1:11" s="1004" customFormat="1" ht="15.75">
      <c r="A284" s="1194"/>
      <c r="B284" s="1095" t="s">
        <v>6604</v>
      </c>
      <c r="C284" s="1096">
        <v>-2</v>
      </c>
      <c r="D284" s="1096" t="s">
        <v>6432</v>
      </c>
      <c r="E284" s="1096">
        <v>1</v>
      </c>
      <c r="F284" s="1097">
        <v>0.9</v>
      </c>
      <c r="G284" s="1097"/>
      <c r="H284" s="1097">
        <v>2.1</v>
      </c>
      <c r="I284" s="1097">
        <f t="shared" si="10"/>
        <v>-3.78</v>
      </c>
    </row>
    <row r="285" spans="1:11" s="1004" customFormat="1" ht="15.75">
      <c r="A285" s="1194"/>
      <c r="B285" s="1095" t="s">
        <v>6516</v>
      </c>
      <c r="C285" s="1096">
        <v>1</v>
      </c>
      <c r="D285" s="1096" t="s">
        <v>6432</v>
      </c>
      <c r="E285" s="1096">
        <v>1</v>
      </c>
      <c r="F285" s="1097">
        <v>17.2</v>
      </c>
      <c r="G285" s="1097"/>
      <c r="H285" s="1097">
        <v>3.2</v>
      </c>
      <c r="I285" s="1097">
        <f t="shared" si="4"/>
        <v>55.04</v>
      </c>
    </row>
    <row r="286" spans="1:11" s="1004" customFormat="1" ht="15.75">
      <c r="A286" s="1194"/>
      <c r="B286" s="1095" t="s">
        <v>6609</v>
      </c>
      <c r="C286" s="1096">
        <v>-1</v>
      </c>
      <c r="D286" s="1096" t="s">
        <v>6468</v>
      </c>
      <c r="E286" s="1096">
        <v>2</v>
      </c>
      <c r="F286" s="1097">
        <v>1</v>
      </c>
      <c r="G286" s="1097"/>
      <c r="H286" s="1097">
        <v>2.1</v>
      </c>
      <c r="I286" s="1097">
        <f t="shared" si="4"/>
        <v>-4.2</v>
      </c>
    </row>
    <row r="287" spans="1:11" s="1004" customFormat="1" ht="15.75">
      <c r="A287" s="1194"/>
      <c r="B287" s="1095" t="s">
        <v>6520</v>
      </c>
      <c r="C287" s="1096">
        <v>-1</v>
      </c>
      <c r="D287" s="1096" t="s">
        <v>6468</v>
      </c>
      <c r="E287" s="1096">
        <v>2</v>
      </c>
      <c r="F287" s="1097">
        <v>1.1000000000000001</v>
      </c>
      <c r="G287" s="1097"/>
      <c r="H287" s="1097">
        <v>0.6</v>
      </c>
      <c r="I287" s="1097">
        <f t="shared" si="4"/>
        <v>-1.32</v>
      </c>
    </row>
    <row r="288" spans="1:11" s="1004" customFormat="1" ht="15.75">
      <c r="A288" s="1194"/>
      <c r="B288" s="1129" t="s">
        <v>6456</v>
      </c>
      <c r="C288" s="1096">
        <v>1</v>
      </c>
      <c r="D288" s="1096" t="s">
        <v>6432</v>
      </c>
      <c r="E288" s="1096">
        <v>1</v>
      </c>
      <c r="F288" s="1097">
        <v>17.399999999999999</v>
      </c>
      <c r="G288" s="1097"/>
      <c r="H288" s="1097">
        <v>3.2</v>
      </c>
      <c r="I288" s="1097">
        <f t="shared" si="4"/>
        <v>55.68</v>
      </c>
    </row>
    <row r="289" spans="1:12" s="1004" customFormat="1" ht="15.75">
      <c r="A289" s="1194"/>
      <c r="B289" s="1095" t="s">
        <v>6604</v>
      </c>
      <c r="C289" s="1096">
        <v>-2</v>
      </c>
      <c r="D289" s="1096" t="s">
        <v>6432</v>
      </c>
      <c r="E289" s="1096">
        <v>1</v>
      </c>
      <c r="F289" s="1097">
        <v>0.9</v>
      </c>
      <c r="G289" s="1097"/>
      <c r="H289" s="1097">
        <v>2.1</v>
      </c>
      <c r="I289" s="1097">
        <f t="shared" si="4"/>
        <v>-3.78</v>
      </c>
    </row>
    <row r="290" spans="1:12" s="1004" customFormat="1" ht="15.75">
      <c r="A290" s="1194"/>
      <c r="B290" s="1095" t="s">
        <v>6520</v>
      </c>
      <c r="C290" s="1096">
        <v>-1</v>
      </c>
      <c r="D290" s="1096" t="s">
        <v>6468</v>
      </c>
      <c r="E290" s="1096">
        <v>2</v>
      </c>
      <c r="F290" s="1097">
        <v>1.1000000000000001</v>
      </c>
      <c r="G290" s="1097"/>
      <c r="H290" s="1097">
        <v>0.6</v>
      </c>
      <c r="I290" s="1097">
        <f t="shared" si="4"/>
        <v>-1.32</v>
      </c>
    </row>
    <row r="291" spans="1:12" s="1004" customFormat="1" ht="15.75">
      <c r="A291" s="1194"/>
      <c r="B291" s="1095" t="s">
        <v>6612</v>
      </c>
      <c r="C291" s="1096">
        <v>1</v>
      </c>
      <c r="D291" s="1096" t="s">
        <v>6432</v>
      </c>
      <c r="E291" s="1096">
        <v>5.0999999999999996</v>
      </c>
      <c r="F291" s="1097">
        <v>6</v>
      </c>
      <c r="G291" s="1097">
        <v>0.12</v>
      </c>
      <c r="H291" s="1097"/>
      <c r="I291" s="1097">
        <f t="shared" si="4"/>
        <v>3.67</v>
      </c>
    </row>
    <row r="292" spans="1:12" s="1004" customFormat="1" ht="15.75">
      <c r="A292" s="1194"/>
      <c r="B292" s="1095" t="s">
        <v>6613</v>
      </c>
      <c r="C292" s="1096">
        <v>1</v>
      </c>
      <c r="D292" s="1096" t="s">
        <v>6432</v>
      </c>
      <c r="E292" s="1096">
        <v>4.95</v>
      </c>
      <c r="F292" s="1097">
        <v>5.7</v>
      </c>
      <c r="G292" s="1097">
        <v>0.12</v>
      </c>
      <c r="H292" s="1097"/>
      <c r="I292" s="1097">
        <f t="shared" si="4"/>
        <v>3.39</v>
      </c>
    </row>
    <row r="293" spans="1:12" s="1004" customFormat="1" ht="15.75">
      <c r="A293" s="1194"/>
      <c r="B293" s="1095" t="s">
        <v>6614</v>
      </c>
      <c r="C293" s="1096">
        <v>1</v>
      </c>
      <c r="D293" s="1096" t="s">
        <v>6432</v>
      </c>
      <c r="E293" s="1096">
        <v>2</v>
      </c>
      <c r="F293" s="1097">
        <v>5.7</v>
      </c>
      <c r="G293" s="1097">
        <v>0.12</v>
      </c>
      <c r="H293" s="1097"/>
      <c r="I293" s="1097">
        <f t="shared" si="4"/>
        <v>1.37</v>
      </c>
    </row>
    <row r="294" spans="1:12" s="1004" customFormat="1" ht="15.75">
      <c r="A294" s="1194"/>
      <c r="B294" s="1095" t="s">
        <v>6615</v>
      </c>
      <c r="C294" s="1096">
        <v>1</v>
      </c>
      <c r="D294" s="1096" t="s">
        <v>6432</v>
      </c>
      <c r="E294" s="1096">
        <v>4</v>
      </c>
      <c r="F294" s="1097">
        <v>4.7</v>
      </c>
      <c r="G294" s="1097">
        <v>0.12</v>
      </c>
      <c r="H294" s="1097"/>
      <c r="I294" s="1097">
        <f t="shared" si="4"/>
        <v>2.2599999999999998</v>
      </c>
    </row>
    <row r="295" spans="1:12" s="1004" customFormat="1" ht="15.75">
      <c r="A295" s="1194"/>
      <c r="B295" s="1095" t="s">
        <v>6616</v>
      </c>
      <c r="C295" s="1096">
        <v>1</v>
      </c>
      <c r="D295" s="1096" t="s">
        <v>6432</v>
      </c>
      <c r="E295" s="1096">
        <v>4</v>
      </c>
      <c r="F295" s="1097">
        <v>6.2</v>
      </c>
      <c r="G295" s="1097">
        <v>0.12</v>
      </c>
      <c r="H295" s="1097"/>
      <c r="I295" s="1097">
        <f t="shared" si="4"/>
        <v>2.98</v>
      </c>
    </row>
    <row r="296" spans="1:12" s="1004" customFormat="1" ht="15.75">
      <c r="A296" s="1194"/>
      <c r="B296" s="1095" t="s">
        <v>6617</v>
      </c>
      <c r="C296" s="1096">
        <v>1</v>
      </c>
      <c r="D296" s="1096" t="s">
        <v>6432</v>
      </c>
      <c r="E296" s="1096">
        <v>1</v>
      </c>
      <c r="F296" s="1097">
        <v>5.95</v>
      </c>
      <c r="G296" s="1097">
        <v>0.12</v>
      </c>
      <c r="H296" s="1097"/>
      <c r="I296" s="1097">
        <f t="shared" si="4"/>
        <v>0.71</v>
      </c>
    </row>
    <row r="297" spans="1:12" s="1004" customFormat="1" ht="15.75">
      <c r="A297" s="1194"/>
      <c r="B297" s="1095" t="s">
        <v>6618</v>
      </c>
      <c r="C297" s="1096">
        <v>1</v>
      </c>
      <c r="D297" s="1096" t="s">
        <v>6432</v>
      </c>
      <c r="E297" s="1096">
        <v>5</v>
      </c>
      <c r="F297" s="1097">
        <v>3.4</v>
      </c>
      <c r="G297" s="1097">
        <v>0.12</v>
      </c>
      <c r="H297" s="1097"/>
      <c r="I297" s="1097">
        <f t="shared" si="4"/>
        <v>2.04</v>
      </c>
      <c r="K297" s="1004">
        <v>2.4</v>
      </c>
      <c r="L297" s="1004">
        <f>0.95*2</f>
        <v>1.9</v>
      </c>
    </row>
    <row r="298" spans="1:12" s="1004" customFormat="1" ht="15.75">
      <c r="A298" s="1194"/>
      <c r="B298" s="1095" t="s">
        <v>6619</v>
      </c>
      <c r="C298" s="1096">
        <v>1</v>
      </c>
      <c r="D298" s="1096" t="s">
        <v>6432</v>
      </c>
      <c r="E298" s="1096">
        <v>3</v>
      </c>
      <c r="F298" s="1097">
        <v>2.4</v>
      </c>
      <c r="G298" s="1097">
        <v>0.12</v>
      </c>
      <c r="H298" s="1097"/>
      <c r="I298" s="1097">
        <f t="shared" si="4"/>
        <v>0.86</v>
      </c>
    </row>
    <row r="299" spans="1:12" s="1004" customFormat="1" ht="15.75">
      <c r="A299" s="1194"/>
      <c r="B299" s="1095" t="s">
        <v>6620</v>
      </c>
      <c r="C299" s="1096">
        <v>1</v>
      </c>
      <c r="D299" s="1096" t="s">
        <v>6432</v>
      </c>
      <c r="E299" s="1096">
        <v>2</v>
      </c>
      <c r="F299" s="1097">
        <v>5.7</v>
      </c>
      <c r="G299" s="1097">
        <v>0.12</v>
      </c>
      <c r="H299" s="1097"/>
      <c r="I299" s="1097">
        <f t="shared" si="4"/>
        <v>1.37</v>
      </c>
      <c r="K299" s="1004">
        <f>4.75*2</f>
        <v>9.5</v>
      </c>
      <c r="L299" s="1004">
        <f>3.6*2</f>
        <v>7.2</v>
      </c>
    </row>
    <row r="300" spans="1:12" s="1004" customFormat="1" ht="15.75">
      <c r="A300" s="1194"/>
      <c r="B300" s="1095" t="s">
        <v>6621</v>
      </c>
      <c r="C300" s="1096">
        <v>1</v>
      </c>
      <c r="D300" s="1096" t="s">
        <v>6432</v>
      </c>
      <c r="E300" s="1096">
        <v>1</v>
      </c>
      <c r="F300" s="1097">
        <v>6</v>
      </c>
      <c r="G300" s="1097">
        <v>0.12</v>
      </c>
      <c r="H300" s="1097"/>
      <c r="I300" s="1097">
        <f t="shared" si="4"/>
        <v>0.72</v>
      </c>
    </row>
    <row r="301" spans="1:12" s="1004" customFormat="1" ht="15.75">
      <c r="A301" s="1194"/>
      <c r="B301" s="1095" t="s">
        <v>6622</v>
      </c>
      <c r="C301" s="1096">
        <v>1</v>
      </c>
      <c r="D301" s="1096" t="s">
        <v>6432</v>
      </c>
      <c r="E301" s="1096">
        <v>1</v>
      </c>
      <c r="F301" s="1097">
        <v>6.4</v>
      </c>
      <c r="G301" s="1097">
        <v>0.12</v>
      </c>
      <c r="H301" s="1097"/>
      <c r="I301" s="1097">
        <f t="shared" si="4"/>
        <v>0.77</v>
      </c>
    </row>
    <row r="302" spans="1:12" s="1004" customFormat="1" ht="15.75">
      <c r="A302" s="1194"/>
      <c r="B302" s="1095" t="s">
        <v>6623</v>
      </c>
      <c r="C302" s="1096">
        <v>4</v>
      </c>
      <c r="D302" s="1096" t="s">
        <v>6432</v>
      </c>
      <c r="E302" s="1096">
        <v>2</v>
      </c>
      <c r="F302" s="1097">
        <v>1.5</v>
      </c>
      <c r="G302" s="1097"/>
      <c r="H302" s="1097">
        <v>1.2</v>
      </c>
      <c r="I302" s="1097">
        <f>ROUND(PRODUCT(C302:H302),2)</f>
        <v>14.4</v>
      </c>
      <c r="K302" s="1004">
        <f>4.8*6</f>
        <v>28.8</v>
      </c>
    </row>
    <row r="303" spans="1:12" s="947" customFormat="1">
      <c r="A303" s="1194"/>
      <c r="B303" s="958"/>
      <c r="C303" s="964"/>
      <c r="D303" s="964"/>
      <c r="E303" s="1192" t="s">
        <v>2245</v>
      </c>
      <c r="F303" s="1192"/>
      <c r="G303" s="1192"/>
      <c r="H303" s="960">
        <f>SUM(I246:I302)</f>
        <v>581.48</v>
      </c>
      <c r="I303" s="962" t="s">
        <v>2283</v>
      </c>
      <c r="J303" s="947">
        <v>37460</v>
      </c>
      <c r="K303" s="961"/>
    </row>
    <row r="304" spans="1:12" s="947" customFormat="1" ht="69" customHeight="1">
      <c r="A304" s="1194">
        <f>A245+1</f>
        <v>30</v>
      </c>
      <c r="B304" s="1195" t="s">
        <v>6408</v>
      </c>
      <c r="C304" s="1195"/>
      <c r="D304" s="1195"/>
      <c r="E304" s="1195"/>
      <c r="F304" s="1195"/>
      <c r="G304" s="1195"/>
      <c r="H304" s="1195"/>
      <c r="I304" s="1195"/>
      <c r="K304" s="961"/>
    </row>
    <row r="305" spans="1:11" s="1004" customFormat="1" ht="20.25" customHeight="1">
      <c r="A305" s="1194"/>
      <c r="B305" s="1129" t="s">
        <v>6521</v>
      </c>
      <c r="C305" s="1096">
        <v>1</v>
      </c>
      <c r="D305" s="1096" t="s">
        <v>6432</v>
      </c>
      <c r="E305" s="1096">
        <v>1</v>
      </c>
      <c r="F305" s="1097">
        <v>61.46</v>
      </c>
      <c r="G305" s="1097"/>
      <c r="H305" s="1097">
        <v>4.5</v>
      </c>
      <c r="I305" s="1097">
        <f t="shared" ref="I305:I319" si="11">ROUND(PRODUCT(C305:H305),2)</f>
        <v>276.57</v>
      </c>
    </row>
    <row r="306" spans="1:11" s="1004" customFormat="1" ht="20.25" customHeight="1">
      <c r="A306" s="1194"/>
      <c r="B306" s="1095" t="s">
        <v>6624</v>
      </c>
      <c r="C306" s="1096">
        <v>1</v>
      </c>
      <c r="D306" s="1096" t="s">
        <v>6432</v>
      </c>
      <c r="E306" s="1096">
        <v>1</v>
      </c>
      <c r="F306" s="1097">
        <v>27.84</v>
      </c>
      <c r="G306" s="1097"/>
      <c r="H306" s="1097">
        <v>0.9</v>
      </c>
      <c r="I306" s="1097">
        <f t="shared" si="11"/>
        <v>25.06</v>
      </c>
    </row>
    <row r="307" spans="1:11" s="1004" customFormat="1" ht="20.25" customHeight="1">
      <c r="A307" s="1194"/>
      <c r="B307" s="1129" t="s">
        <v>6517</v>
      </c>
      <c r="C307" s="1096">
        <v>-1</v>
      </c>
      <c r="D307" s="1096" t="s">
        <v>6432</v>
      </c>
      <c r="E307" s="1096">
        <v>1</v>
      </c>
      <c r="F307" s="1097">
        <v>1.75</v>
      </c>
      <c r="G307" s="1097"/>
      <c r="H307" s="1097">
        <v>2.1</v>
      </c>
      <c r="I307" s="1097">
        <f t="shared" si="11"/>
        <v>-3.68</v>
      </c>
    </row>
    <row r="308" spans="1:11" s="1004" customFormat="1" ht="20.25" customHeight="1">
      <c r="A308" s="1194"/>
      <c r="B308" s="1129" t="s">
        <v>6625</v>
      </c>
      <c r="C308" s="1096">
        <v>1</v>
      </c>
      <c r="D308" s="1096" t="s">
        <v>6432</v>
      </c>
      <c r="E308" s="1096">
        <v>1</v>
      </c>
      <c r="F308" s="1097">
        <v>5.95</v>
      </c>
      <c r="G308" s="1097">
        <v>0.1</v>
      </c>
      <c r="H308" s="1097"/>
      <c r="I308" s="1097">
        <f t="shared" si="11"/>
        <v>0.6</v>
      </c>
    </row>
    <row r="309" spans="1:11" s="1004" customFormat="1" ht="20.25" customHeight="1">
      <c r="A309" s="1194"/>
      <c r="B309" s="1129" t="s">
        <v>6519</v>
      </c>
      <c r="C309" s="1096">
        <v>-1</v>
      </c>
      <c r="D309" s="1096" t="s">
        <v>6432</v>
      </c>
      <c r="E309" s="1096">
        <v>2</v>
      </c>
      <c r="F309" s="1097">
        <v>1.5</v>
      </c>
      <c r="G309" s="1097"/>
      <c r="H309" s="1097">
        <v>1.35</v>
      </c>
      <c r="I309" s="1097">
        <f t="shared" si="11"/>
        <v>-4.05</v>
      </c>
    </row>
    <row r="310" spans="1:11" s="1004" customFormat="1" ht="20.25" customHeight="1">
      <c r="A310" s="1194"/>
      <c r="B310" s="1129" t="s">
        <v>6626</v>
      </c>
      <c r="C310" s="1096">
        <v>1</v>
      </c>
      <c r="D310" s="1096" t="s">
        <v>6432</v>
      </c>
      <c r="E310" s="1096">
        <v>1</v>
      </c>
      <c r="F310" s="1097">
        <v>5.7</v>
      </c>
      <c r="G310" s="1097">
        <v>0.1</v>
      </c>
      <c r="H310" s="1097"/>
      <c r="I310" s="1097">
        <f t="shared" si="11"/>
        <v>0.56999999999999995</v>
      </c>
    </row>
    <row r="311" spans="1:11" s="1004" customFormat="1" ht="20.25" customHeight="1">
      <c r="A311" s="1194"/>
      <c r="B311" s="1129" t="s">
        <v>6518</v>
      </c>
      <c r="C311" s="1096">
        <v>-1</v>
      </c>
      <c r="D311" s="1096" t="s">
        <v>6432</v>
      </c>
      <c r="E311" s="1096">
        <v>4</v>
      </c>
      <c r="F311" s="1097">
        <v>1</v>
      </c>
      <c r="G311" s="1097"/>
      <c r="H311" s="1097">
        <v>1.35</v>
      </c>
      <c r="I311" s="1097">
        <f>ROUND(PRODUCT(C311:H311),2)</f>
        <v>-5.4</v>
      </c>
    </row>
    <row r="312" spans="1:11" s="1004" customFormat="1" ht="20.25" customHeight="1">
      <c r="A312" s="1194"/>
      <c r="B312" s="1129" t="s">
        <v>6626</v>
      </c>
      <c r="C312" s="1096">
        <v>1</v>
      </c>
      <c r="D312" s="1096" t="s">
        <v>6432</v>
      </c>
      <c r="E312" s="1096">
        <v>4</v>
      </c>
      <c r="F312" s="1097">
        <v>4.7</v>
      </c>
      <c r="G312" s="1097">
        <v>0.1</v>
      </c>
      <c r="H312" s="1097"/>
      <c r="I312" s="1097">
        <f>ROUND(PRODUCT(C312:H312),2)</f>
        <v>1.88</v>
      </c>
    </row>
    <row r="313" spans="1:11" s="1004" customFormat="1" ht="20.25" customHeight="1">
      <c r="A313" s="1194"/>
      <c r="B313" s="1129" t="s">
        <v>6520</v>
      </c>
      <c r="C313" s="1096">
        <v>-1</v>
      </c>
      <c r="D313" s="1096" t="s">
        <v>6432</v>
      </c>
      <c r="E313" s="1096">
        <v>5</v>
      </c>
      <c r="F313" s="1097">
        <v>1.1000000000000001</v>
      </c>
      <c r="G313" s="1097"/>
      <c r="H313" s="1097">
        <v>0.6</v>
      </c>
      <c r="I313" s="1097">
        <f t="shared" si="11"/>
        <v>-3.3</v>
      </c>
    </row>
    <row r="314" spans="1:11" s="1004" customFormat="1" ht="20.25" customHeight="1">
      <c r="A314" s="1194"/>
      <c r="B314" s="1129" t="s">
        <v>6522</v>
      </c>
      <c r="C314" s="1096">
        <v>1</v>
      </c>
      <c r="D314" s="1096" t="s">
        <v>6432</v>
      </c>
      <c r="E314" s="1096">
        <v>1</v>
      </c>
      <c r="F314" s="1097">
        <v>30.8</v>
      </c>
      <c r="G314" s="1097"/>
      <c r="H314" s="1097">
        <v>0.55000000000000004</v>
      </c>
      <c r="I314" s="1097">
        <f t="shared" si="11"/>
        <v>16.940000000000001</v>
      </c>
    </row>
    <row r="315" spans="1:11" s="1004" customFormat="1" ht="20.25" customHeight="1">
      <c r="A315" s="1194"/>
      <c r="B315" s="1129" t="s">
        <v>6523</v>
      </c>
      <c r="C315" s="1096">
        <v>2</v>
      </c>
      <c r="D315" s="1096" t="s">
        <v>6432</v>
      </c>
      <c r="E315" s="1096">
        <v>2</v>
      </c>
      <c r="F315" s="1097">
        <v>1.96</v>
      </c>
      <c r="G315" s="1097">
        <v>0.6</v>
      </c>
      <c r="H315" s="1097"/>
      <c r="I315" s="1097">
        <f>ROUND(PRODUCT(C315:H315),2)</f>
        <v>4.7</v>
      </c>
    </row>
    <row r="316" spans="1:11" s="1004" customFormat="1" ht="20.25" customHeight="1">
      <c r="A316" s="1194"/>
      <c r="B316" s="1129" t="s">
        <v>6627</v>
      </c>
      <c r="C316" s="1096">
        <v>2</v>
      </c>
      <c r="D316" s="1096" t="s">
        <v>6432</v>
      </c>
      <c r="E316" s="1096">
        <v>2</v>
      </c>
      <c r="F316" s="1097">
        <v>1.96</v>
      </c>
      <c r="G316" s="1097">
        <v>0.6</v>
      </c>
      <c r="H316" s="1097"/>
      <c r="I316" s="1097">
        <f t="shared" ref="I316:I318" si="12">ROUND(PRODUCT(C316:H316),2)</f>
        <v>4.7</v>
      </c>
    </row>
    <row r="317" spans="1:11" s="1004" customFormat="1" ht="20.25" customHeight="1">
      <c r="A317" s="1194"/>
      <c r="B317" s="1129" t="s">
        <v>6524</v>
      </c>
      <c r="C317" s="1096">
        <v>2</v>
      </c>
      <c r="D317" s="1096" t="s">
        <v>6432</v>
      </c>
      <c r="E317" s="1096">
        <v>4</v>
      </c>
      <c r="F317" s="1097">
        <v>1.5</v>
      </c>
      <c r="G317" s="1097">
        <v>0.6</v>
      </c>
      <c r="H317" s="1097"/>
      <c r="I317" s="1097">
        <f t="shared" si="12"/>
        <v>7.2</v>
      </c>
    </row>
    <row r="318" spans="1:11" s="1004" customFormat="1" ht="20.25" customHeight="1">
      <c r="A318" s="1194"/>
      <c r="B318" s="1129" t="s">
        <v>6628</v>
      </c>
      <c r="C318" s="1096">
        <v>2</v>
      </c>
      <c r="D318" s="1096" t="s">
        <v>6432</v>
      </c>
      <c r="E318" s="1096">
        <v>2</v>
      </c>
      <c r="F318" s="1097">
        <v>0.6</v>
      </c>
      <c r="G318" s="1097"/>
      <c r="H318" s="1097">
        <v>0.45</v>
      </c>
      <c r="I318" s="1097">
        <f t="shared" si="12"/>
        <v>1.08</v>
      </c>
    </row>
    <row r="319" spans="1:11" s="1004" customFormat="1" ht="15.75">
      <c r="A319" s="1194"/>
      <c r="B319" s="1095" t="s">
        <v>6629</v>
      </c>
      <c r="C319" s="1096">
        <v>4</v>
      </c>
      <c r="D319" s="1096" t="s">
        <v>6432</v>
      </c>
      <c r="E319" s="1096">
        <v>0.5</v>
      </c>
      <c r="F319" s="1097">
        <v>1.2</v>
      </c>
      <c r="G319" s="1097"/>
      <c r="H319" s="1097">
        <v>3.2</v>
      </c>
      <c r="I319" s="1097">
        <f t="shared" si="11"/>
        <v>7.68</v>
      </c>
    </row>
    <row r="320" spans="1:11" s="947" customFormat="1">
      <c r="A320" s="1194"/>
      <c r="B320" s="958"/>
      <c r="C320" s="964"/>
      <c r="D320" s="964"/>
      <c r="E320" s="1192" t="s">
        <v>2245</v>
      </c>
      <c r="F320" s="1192"/>
      <c r="G320" s="1192"/>
      <c r="H320" s="960">
        <f>SUM(I305:I319)</f>
        <v>330.55</v>
      </c>
      <c r="I320" s="962" t="s">
        <v>2283</v>
      </c>
      <c r="J320" s="947">
        <v>37460</v>
      </c>
      <c r="K320" s="961"/>
    </row>
    <row r="321" spans="1:11" s="947" customFormat="1" ht="18" customHeight="1">
      <c r="A321" s="1197">
        <f>A304+1</f>
        <v>31</v>
      </c>
      <c r="B321" s="1195" t="s">
        <v>6409</v>
      </c>
      <c r="C321" s="1195"/>
      <c r="D321" s="1195"/>
      <c r="E321" s="1195"/>
      <c r="F321" s="1195"/>
      <c r="G321" s="1195"/>
      <c r="H321" s="1195"/>
      <c r="I321" s="1195"/>
      <c r="K321" s="961"/>
    </row>
    <row r="322" spans="1:11" s="947" customFormat="1" ht="18" customHeight="1">
      <c r="A322" s="1197"/>
      <c r="B322" s="1095" t="s">
        <v>6445</v>
      </c>
      <c r="C322" s="1096">
        <v>1</v>
      </c>
      <c r="D322" s="1096" t="s">
        <v>6432</v>
      </c>
      <c r="E322" s="1096">
        <v>1</v>
      </c>
      <c r="F322" s="1097">
        <v>3.1</v>
      </c>
      <c r="G322" s="1097">
        <v>3.35</v>
      </c>
      <c r="H322" s="1097"/>
      <c r="I322" s="1097">
        <f t="shared" ref="I322:I338" si="13">ROUND(PRODUCT(C322:H322),2)</f>
        <v>10.39</v>
      </c>
      <c r="K322" s="961"/>
    </row>
    <row r="323" spans="1:11" s="947" customFormat="1" ht="18" customHeight="1">
      <c r="A323" s="1197"/>
      <c r="B323" s="1095" t="s">
        <v>6455</v>
      </c>
      <c r="C323" s="1096">
        <v>1</v>
      </c>
      <c r="D323" s="1096" t="s">
        <v>6432</v>
      </c>
      <c r="E323" s="1096">
        <v>1</v>
      </c>
      <c r="F323" s="1097">
        <v>3.1</v>
      </c>
      <c r="G323" s="1097">
        <v>5.45</v>
      </c>
      <c r="H323" s="1097"/>
      <c r="I323" s="1097">
        <f t="shared" si="13"/>
        <v>16.899999999999999</v>
      </c>
      <c r="K323" s="961"/>
    </row>
    <row r="324" spans="1:11" s="947" customFormat="1" ht="18" customHeight="1">
      <c r="A324" s="1197"/>
      <c r="B324" s="1095" t="s">
        <v>6456</v>
      </c>
      <c r="C324" s="1096">
        <v>1</v>
      </c>
      <c r="D324" s="1096" t="s">
        <v>6432</v>
      </c>
      <c r="E324" s="1096">
        <v>1</v>
      </c>
      <c r="F324" s="1097">
        <v>2.2999999999999998</v>
      </c>
      <c r="G324" s="1097">
        <v>5.6</v>
      </c>
      <c r="H324" s="1097"/>
      <c r="I324" s="1097">
        <f t="shared" si="13"/>
        <v>12.88</v>
      </c>
      <c r="K324" s="961"/>
    </row>
    <row r="325" spans="1:11" s="947" customFormat="1" ht="18" customHeight="1">
      <c r="A325" s="1197"/>
      <c r="B325" s="1129" t="s">
        <v>6457</v>
      </c>
      <c r="C325" s="1096">
        <v>1</v>
      </c>
      <c r="D325" s="1096" t="s">
        <v>6432</v>
      </c>
      <c r="E325" s="1096">
        <v>1</v>
      </c>
      <c r="F325" s="1097">
        <v>2</v>
      </c>
      <c r="G325" s="1097">
        <v>3.6</v>
      </c>
      <c r="H325" s="1097"/>
      <c r="I325" s="1097">
        <f t="shared" si="13"/>
        <v>7.2</v>
      </c>
      <c r="K325" s="961"/>
    </row>
    <row r="326" spans="1:11" s="947" customFormat="1" ht="18" customHeight="1">
      <c r="A326" s="1197"/>
      <c r="B326" s="1129" t="s">
        <v>6630</v>
      </c>
      <c r="C326" s="1096">
        <v>1</v>
      </c>
      <c r="D326" s="1096" t="s">
        <v>6432</v>
      </c>
      <c r="E326" s="1096">
        <v>1</v>
      </c>
      <c r="F326" s="1097">
        <v>2</v>
      </c>
      <c r="G326" s="1097">
        <v>0.8</v>
      </c>
      <c r="H326" s="1097"/>
      <c r="I326" s="1097">
        <f t="shared" si="13"/>
        <v>1.6</v>
      </c>
      <c r="K326" s="961"/>
    </row>
    <row r="327" spans="1:11" s="947" customFormat="1" ht="18" customHeight="1">
      <c r="A327" s="1197"/>
      <c r="B327" s="1095" t="s">
        <v>6446</v>
      </c>
      <c r="C327" s="1096">
        <v>1</v>
      </c>
      <c r="D327" s="1096" t="s">
        <v>6432</v>
      </c>
      <c r="E327" s="1096">
        <v>1</v>
      </c>
      <c r="F327" s="1097">
        <v>5</v>
      </c>
      <c r="G327" s="1097">
        <v>3.6</v>
      </c>
      <c r="H327" s="1097"/>
      <c r="I327" s="1097">
        <f t="shared" si="13"/>
        <v>18</v>
      </c>
      <c r="K327" s="961"/>
    </row>
    <row r="328" spans="1:11" s="947" customFormat="1" ht="18" customHeight="1">
      <c r="A328" s="1197"/>
      <c r="B328" s="1129" t="s">
        <v>6458</v>
      </c>
      <c r="C328" s="1096">
        <v>1</v>
      </c>
      <c r="D328" s="1096" t="s">
        <v>6432</v>
      </c>
      <c r="E328" s="1096">
        <v>1</v>
      </c>
      <c r="F328" s="1097">
        <v>0.9</v>
      </c>
      <c r="G328" s="1097">
        <v>2.2200000000000002</v>
      </c>
      <c r="H328" s="1097"/>
      <c r="I328" s="1097">
        <f t="shared" si="13"/>
        <v>2</v>
      </c>
      <c r="K328" s="961"/>
    </row>
    <row r="329" spans="1:11" s="947" customFormat="1" ht="18" customHeight="1">
      <c r="A329" s="1197"/>
      <c r="B329" s="1095" t="s">
        <v>6459</v>
      </c>
      <c r="C329" s="1096">
        <v>1</v>
      </c>
      <c r="D329" s="1096" t="s">
        <v>6432</v>
      </c>
      <c r="E329" s="1096">
        <v>1</v>
      </c>
      <c r="F329" s="1097">
        <v>3</v>
      </c>
      <c r="G329" s="1097">
        <v>2.5</v>
      </c>
      <c r="H329" s="1097"/>
      <c r="I329" s="1097">
        <f t="shared" si="13"/>
        <v>7.5</v>
      </c>
      <c r="K329" s="961"/>
    </row>
    <row r="330" spans="1:11" s="947" customFormat="1" ht="18" customHeight="1">
      <c r="A330" s="1197"/>
      <c r="B330" s="1129" t="s">
        <v>6460</v>
      </c>
      <c r="C330" s="1096">
        <v>1</v>
      </c>
      <c r="D330" s="1096" t="s">
        <v>6432</v>
      </c>
      <c r="E330" s="1096">
        <v>1</v>
      </c>
      <c r="F330" s="1097">
        <v>3</v>
      </c>
      <c r="G330" s="1097">
        <v>3</v>
      </c>
      <c r="H330" s="1097"/>
      <c r="I330" s="1097">
        <f t="shared" si="13"/>
        <v>9</v>
      </c>
      <c r="K330" s="961"/>
    </row>
    <row r="331" spans="1:11" s="947" customFormat="1" ht="18" customHeight="1">
      <c r="A331" s="1197"/>
      <c r="B331" s="1129" t="s">
        <v>6373</v>
      </c>
      <c r="C331" s="1096">
        <v>1</v>
      </c>
      <c r="D331" s="1096" t="s">
        <v>6432</v>
      </c>
      <c r="E331" s="1096">
        <v>1</v>
      </c>
      <c r="F331" s="1097">
        <v>1.45</v>
      </c>
      <c r="G331" s="1097">
        <v>1.6</v>
      </c>
      <c r="H331" s="1097"/>
      <c r="I331" s="1097">
        <f t="shared" si="13"/>
        <v>2.3199999999999998</v>
      </c>
      <c r="K331" s="961"/>
    </row>
    <row r="332" spans="1:11" s="947" customFormat="1" ht="18" customHeight="1">
      <c r="A332" s="1197"/>
      <c r="B332" s="1095" t="s">
        <v>6461</v>
      </c>
      <c r="C332" s="1096">
        <v>1</v>
      </c>
      <c r="D332" s="1096" t="s">
        <v>6432</v>
      </c>
      <c r="E332" s="1096">
        <v>1</v>
      </c>
      <c r="F332" s="1097">
        <v>3</v>
      </c>
      <c r="G332" s="1097">
        <v>3.35</v>
      </c>
      <c r="H332" s="1097"/>
      <c r="I332" s="1097">
        <f t="shared" si="13"/>
        <v>10.050000000000001</v>
      </c>
      <c r="K332" s="961"/>
    </row>
    <row r="333" spans="1:11" s="947" customFormat="1" ht="18" customHeight="1">
      <c r="A333" s="1197"/>
      <c r="B333" s="1129" t="s">
        <v>6373</v>
      </c>
      <c r="C333" s="1096">
        <v>1</v>
      </c>
      <c r="D333" s="1096" t="s">
        <v>6432</v>
      </c>
      <c r="E333" s="1096">
        <v>1</v>
      </c>
      <c r="F333" s="1097">
        <v>1.45</v>
      </c>
      <c r="G333" s="1097">
        <v>1.6</v>
      </c>
      <c r="H333" s="1097"/>
      <c r="I333" s="1097">
        <f t="shared" si="13"/>
        <v>2.3199999999999998</v>
      </c>
      <c r="K333" s="961"/>
    </row>
    <row r="334" spans="1:11" s="947" customFormat="1" ht="18" customHeight="1">
      <c r="A334" s="1197"/>
      <c r="B334" s="1095" t="s">
        <v>6325</v>
      </c>
      <c r="C334" s="1096">
        <v>1</v>
      </c>
      <c r="D334" s="1096" t="s">
        <v>6432</v>
      </c>
      <c r="E334" s="1096">
        <v>1</v>
      </c>
      <c r="F334" s="1097">
        <v>5.95</v>
      </c>
      <c r="G334" s="1097">
        <v>3.35</v>
      </c>
      <c r="H334" s="1097"/>
      <c r="I334" s="1097">
        <f t="shared" si="13"/>
        <v>19.93</v>
      </c>
      <c r="K334" s="961"/>
    </row>
    <row r="335" spans="1:11" s="1004" customFormat="1" ht="15.75">
      <c r="A335" s="1197"/>
      <c r="B335" s="1129" t="s">
        <v>6462</v>
      </c>
      <c r="C335" s="1096">
        <v>1</v>
      </c>
      <c r="D335" s="1096" t="s">
        <v>6432</v>
      </c>
      <c r="E335" s="1096">
        <v>1</v>
      </c>
      <c r="F335" s="1097">
        <v>5.95</v>
      </c>
      <c r="G335" s="1097">
        <v>7</v>
      </c>
      <c r="H335" s="1097"/>
      <c r="I335" s="1097">
        <f t="shared" si="13"/>
        <v>41.65</v>
      </c>
    </row>
    <row r="336" spans="1:11" s="1004" customFormat="1" ht="15.75">
      <c r="A336" s="1197"/>
      <c r="B336" s="1129" t="s">
        <v>6631</v>
      </c>
      <c r="C336" s="1096">
        <v>2</v>
      </c>
      <c r="D336" s="1096" t="s">
        <v>6432</v>
      </c>
      <c r="E336" s="1096">
        <v>2</v>
      </c>
      <c r="F336" s="1097">
        <v>5.95</v>
      </c>
      <c r="G336" s="1097"/>
      <c r="H336" s="1097">
        <v>0.4</v>
      </c>
      <c r="I336" s="1097">
        <f t="shared" si="13"/>
        <v>9.52</v>
      </c>
    </row>
    <row r="337" spans="1:11" s="1004" customFormat="1" ht="15.75">
      <c r="A337" s="1197"/>
      <c r="B337" s="1095" t="s">
        <v>6463</v>
      </c>
      <c r="C337" s="1096">
        <v>1</v>
      </c>
      <c r="D337" s="1096" t="s">
        <v>6432</v>
      </c>
      <c r="E337" s="1096">
        <v>1</v>
      </c>
      <c r="F337" s="1097">
        <v>5.95</v>
      </c>
      <c r="G337" s="1097">
        <v>2</v>
      </c>
      <c r="H337" s="1097"/>
      <c r="I337" s="1097">
        <f t="shared" si="13"/>
        <v>11.9</v>
      </c>
    </row>
    <row r="338" spans="1:11" s="1004" customFormat="1" ht="15.75">
      <c r="A338" s="1197"/>
      <c r="B338" s="1095" t="s">
        <v>6632</v>
      </c>
      <c r="C338" s="1096">
        <v>1</v>
      </c>
      <c r="D338" s="1096" t="s">
        <v>6432</v>
      </c>
      <c r="E338" s="1096">
        <v>1</v>
      </c>
      <c r="F338" s="1097">
        <v>27.58</v>
      </c>
      <c r="G338" s="1097">
        <v>0.6</v>
      </c>
      <c r="H338" s="1097"/>
      <c r="I338" s="1097">
        <f t="shared" si="13"/>
        <v>16.55</v>
      </c>
    </row>
    <row r="339" spans="1:11" s="947" customFormat="1">
      <c r="A339" s="1197"/>
      <c r="B339" s="958"/>
      <c r="C339" s="964"/>
      <c r="D339" s="964"/>
      <c r="E339" s="1192" t="s">
        <v>2245</v>
      </c>
      <c r="F339" s="1192"/>
      <c r="G339" s="1192"/>
      <c r="H339" s="960">
        <f>SUM(I322:I338)</f>
        <v>199.71</v>
      </c>
      <c r="I339" s="962" t="s">
        <v>2283</v>
      </c>
      <c r="J339" s="947">
        <v>6800</v>
      </c>
      <c r="K339" s="961"/>
    </row>
    <row r="340" spans="1:11" s="947" customFormat="1" ht="17.25" customHeight="1">
      <c r="A340" s="1197">
        <f>A321+1</f>
        <v>32</v>
      </c>
      <c r="B340" s="1195" t="str">
        <f>'[8]AR Police Qtrs'!C97</f>
        <v>Painting the old wood work with one coat of approved first class synthetic enamel ready mixed paint.</v>
      </c>
      <c r="C340" s="1196"/>
      <c r="D340" s="1196"/>
      <c r="E340" s="1196"/>
      <c r="F340" s="1196"/>
      <c r="G340" s="1196"/>
      <c r="H340" s="1196"/>
      <c r="I340" s="1196"/>
      <c r="K340" s="1003"/>
    </row>
    <row r="341" spans="1:11" s="947" customFormat="1" ht="17.25" customHeight="1">
      <c r="A341" s="1197"/>
      <c r="B341" s="1095" t="s">
        <v>6525</v>
      </c>
      <c r="C341" s="1096">
        <v>1</v>
      </c>
      <c r="D341" s="1096" t="s">
        <v>6432</v>
      </c>
      <c r="E341" s="1096">
        <v>6</v>
      </c>
      <c r="F341" s="1097">
        <v>0.9</v>
      </c>
      <c r="G341" s="1097">
        <v>2.6</v>
      </c>
      <c r="H341" s="1097">
        <v>2.1</v>
      </c>
      <c r="I341" s="1097">
        <f>ROUND(PRODUCT(C341:H341),2)</f>
        <v>29.48</v>
      </c>
      <c r="K341" s="1003"/>
    </row>
    <row r="342" spans="1:11" s="947" customFormat="1" ht="17.25" customHeight="1">
      <c r="A342" s="1197"/>
      <c r="B342" s="1095" t="s">
        <v>6526</v>
      </c>
      <c r="C342" s="1096">
        <v>1</v>
      </c>
      <c r="D342" s="1096" t="s">
        <v>6432</v>
      </c>
      <c r="E342" s="1096">
        <v>2</v>
      </c>
      <c r="F342" s="1097">
        <v>0.75</v>
      </c>
      <c r="G342" s="1097">
        <v>2.6</v>
      </c>
      <c r="H342" s="1097">
        <v>2.1</v>
      </c>
      <c r="I342" s="1097">
        <f>ROUND(PRODUCT(C342:H342),2)</f>
        <v>8.19</v>
      </c>
      <c r="K342" s="1003"/>
    </row>
    <row r="343" spans="1:11" s="947" customFormat="1" ht="17.25" customHeight="1">
      <c r="A343" s="1197"/>
      <c r="B343" s="1095" t="s">
        <v>2522</v>
      </c>
      <c r="C343" s="1096">
        <v>1</v>
      </c>
      <c r="D343" s="1096" t="s">
        <v>6432</v>
      </c>
      <c r="E343" s="1096">
        <v>11</v>
      </c>
      <c r="F343" s="1097">
        <v>0.9</v>
      </c>
      <c r="G343" s="1097">
        <v>2.6</v>
      </c>
      <c r="H343" s="1097">
        <v>0.6</v>
      </c>
      <c r="I343" s="1097">
        <f>ROUND(PRODUCT(C343:H343),2)</f>
        <v>15.44</v>
      </c>
      <c r="K343" s="1003"/>
    </row>
    <row r="344" spans="1:11" s="947" customFormat="1" ht="17.25" customHeight="1">
      <c r="A344" s="1197"/>
      <c r="B344" s="1095" t="s">
        <v>6633</v>
      </c>
      <c r="C344" s="1096">
        <v>1</v>
      </c>
      <c r="D344" s="1096" t="s">
        <v>6432</v>
      </c>
      <c r="E344" s="1096">
        <v>4</v>
      </c>
      <c r="F344" s="1097">
        <v>1.5</v>
      </c>
      <c r="G344" s="1097">
        <v>2.6</v>
      </c>
      <c r="H344" s="1097">
        <v>1.35</v>
      </c>
      <c r="I344" s="1097">
        <v>0.85</v>
      </c>
      <c r="K344" s="1003"/>
    </row>
    <row r="345" spans="1:11" s="1004" customFormat="1" ht="15.75">
      <c r="A345" s="1197"/>
      <c r="B345" s="1095" t="s">
        <v>6634</v>
      </c>
      <c r="C345" s="1096">
        <v>1</v>
      </c>
      <c r="D345" s="1096" t="s">
        <v>6432</v>
      </c>
      <c r="E345" s="1096">
        <v>2</v>
      </c>
      <c r="F345" s="1097">
        <v>1.5</v>
      </c>
      <c r="G345" s="1097">
        <v>2.6</v>
      </c>
      <c r="H345" s="1097">
        <v>1.35</v>
      </c>
      <c r="I345" s="1097">
        <v>0.85</v>
      </c>
      <c r="K345" s="1004">
        <f>2.6*2.1</f>
        <v>5.46</v>
      </c>
    </row>
    <row r="346" spans="1:11" s="947" customFormat="1">
      <c r="A346" s="1197"/>
      <c r="B346" s="958"/>
      <c r="C346" s="964"/>
      <c r="D346" s="964"/>
      <c r="E346" s="1192" t="s">
        <v>2245</v>
      </c>
      <c r="F346" s="1192"/>
      <c r="G346" s="1192"/>
      <c r="H346" s="960">
        <f>SUM(I341:I345)</f>
        <v>54.81</v>
      </c>
      <c r="I346" s="962" t="s">
        <v>2283</v>
      </c>
      <c r="J346" s="947">
        <v>1420</v>
      </c>
      <c r="K346" s="961"/>
    </row>
    <row r="347" spans="1:11" s="947" customFormat="1" ht="25.5" customHeight="1">
      <c r="A347" s="1197">
        <f>A340+1</f>
        <v>33</v>
      </c>
      <c r="B347" s="1195" t="str">
        <f>'[8]AR Police Qtrs'!C98</f>
        <v>Painting the old iron work with one coat of approved first class synthetic enamel ready mixed paint.</v>
      </c>
      <c r="C347" s="1196"/>
      <c r="D347" s="1196"/>
      <c r="E347" s="1196"/>
      <c r="F347" s="1196"/>
      <c r="G347" s="1196"/>
      <c r="H347" s="1196"/>
      <c r="I347" s="1196"/>
      <c r="K347" s="1003"/>
    </row>
    <row r="348" spans="1:11" s="947" customFormat="1" ht="25.5" customHeight="1">
      <c r="A348" s="1197"/>
      <c r="B348" s="1095" t="s">
        <v>6527</v>
      </c>
      <c r="C348" s="1096">
        <v>1</v>
      </c>
      <c r="D348" s="1096" t="s">
        <v>6432</v>
      </c>
      <c r="E348" s="1096">
        <v>4</v>
      </c>
      <c r="F348" s="1097">
        <v>1</v>
      </c>
      <c r="G348" s="1097"/>
      <c r="H348" s="1097">
        <v>2.1</v>
      </c>
      <c r="I348" s="1097">
        <f t="shared" ref="I348:I354" si="14">ROUND(PRODUCT(C348:H348),2)</f>
        <v>8.4</v>
      </c>
      <c r="K348" s="1003"/>
    </row>
    <row r="349" spans="1:11" s="947" customFormat="1" ht="25.5" customHeight="1">
      <c r="A349" s="1197"/>
      <c r="B349" s="1095" t="s">
        <v>6528</v>
      </c>
      <c r="C349" s="1096">
        <v>1</v>
      </c>
      <c r="D349" s="1096" t="s">
        <v>6432</v>
      </c>
      <c r="E349" s="1096">
        <v>1</v>
      </c>
      <c r="F349" s="1097">
        <v>1.75</v>
      </c>
      <c r="G349" s="1097"/>
      <c r="H349" s="1097">
        <v>2.1</v>
      </c>
      <c r="I349" s="1097">
        <f t="shared" si="14"/>
        <v>3.68</v>
      </c>
      <c r="K349" s="1003"/>
    </row>
    <row r="350" spans="1:11" s="947" customFormat="1" ht="25.5" customHeight="1">
      <c r="A350" s="1197"/>
      <c r="B350" s="1095" t="s">
        <v>6529</v>
      </c>
      <c r="C350" s="1096">
        <v>1</v>
      </c>
      <c r="D350" s="1096" t="s">
        <v>6432</v>
      </c>
      <c r="E350" s="1096">
        <v>4</v>
      </c>
      <c r="F350" s="1097">
        <v>1.5</v>
      </c>
      <c r="G350" s="1097"/>
      <c r="H350" s="1097">
        <v>1.35</v>
      </c>
      <c r="I350" s="1097">
        <f t="shared" si="14"/>
        <v>8.1</v>
      </c>
      <c r="K350" s="1003"/>
    </row>
    <row r="351" spans="1:11" s="947" customFormat="1" ht="25.5" customHeight="1">
      <c r="A351" s="1197"/>
      <c r="B351" s="1095" t="s">
        <v>6529</v>
      </c>
      <c r="C351" s="1096">
        <v>1</v>
      </c>
      <c r="D351" s="1096" t="s">
        <v>6432</v>
      </c>
      <c r="E351" s="1096">
        <v>2</v>
      </c>
      <c r="F351" s="1097">
        <v>1.5</v>
      </c>
      <c r="G351" s="1097"/>
      <c r="H351" s="1097">
        <v>1.3</v>
      </c>
      <c r="I351" s="1097">
        <f t="shared" si="14"/>
        <v>3.9</v>
      </c>
      <c r="K351" s="1003"/>
    </row>
    <row r="352" spans="1:11" s="947" customFormat="1" ht="25.5" customHeight="1">
      <c r="A352" s="1197"/>
      <c r="B352" s="1095" t="s">
        <v>6530</v>
      </c>
      <c r="C352" s="1096">
        <v>1</v>
      </c>
      <c r="D352" s="1096" t="s">
        <v>6432</v>
      </c>
      <c r="E352" s="1096">
        <v>2</v>
      </c>
      <c r="F352" s="1097">
        <v>0.9</v>
      </c>
      <c r="G352" s="1097"/>
      <c r="H352" s="1097">
        <v>0.6</v>
      </c>
      <c r="I352" s="1097">
        <f t="shared" si="14"/>
        <v>1.08</v>
      </c>
      <c r="K352" s="1003"/>
    </row>
    <row r="353" spans="1:11" s="947" customFormat="1" ht="25.5" customHeight="1">
      <c r="A353" s="1197"/>
      <c r="B353" s="1095" t="s">
        <v>6530</v>
      </c>
      <c r="C353" s="1096">
        <v>1</v>
      </c>
      <c r="D353" s="1096" t="s">
        <v>6432</v>
      </c>
      <c r="E353" s="1096">
        <v>5</v>
      </c>
      <c r="F353" s="1097">
        <v>1.1000000000000001</v>
      </c>
      <c r="G353" s="1097"/>
      <c r="H353" s="1097">
        <v>0.6</v>
      </c>
      <c r="I353" s="1097">
        <f t="shared" si="14"/>
        <v>3.3</v>
      </c>
      <c r="K353" s="1003"/>
    </row>
    <row r="354" spans="1:11" s="947" customFormat="1" ht="25.5" customHeight="1">
      <c r="A354" s="1197"/>
      <c r="B354" s="1095" t="s">
        <v>6595</v>
      </c>
      <c r="C354" s="1096">
        <v>1</v>
      </c>
      <c r="D354" s="1096" t="s">
        <v>6432</v>
      </c>
      <c r="E354" s="1096">
        <v>1</v>
      </c>
      <c r="F354" s="1097">
        <v>3.5</v>
      </c>
      <c r="G354" s="1097">
        <v>1</v>
      </c>
      <c r="H354" s="1097">
        <v>0.6</v>
      </c>
      <c r="I354" s="1097">
        <f t="shared" si="14"/>
        <v>2.1</v>
      </c>
      <c r="K354" s="1003"/>
    </row>
    <row r="355" spans="1:11" s="947" customFormat="1">
      <c r="A355" s="1197"/>
      <c r="B355" s="958" t="s">
        <v>6510</v>
      </c>
      <c r="C355" s="952"/>
      <c r="D355" s="952"/>
      <c r="E355" s="952"/>
      <c r="F355" s="959"/>
      <c r="G355" s="959"/>
      <c r="H355" s="1027"/>
      <c r="I355" s="959">
        <v>0.02</v>
      </c>
      <c r="K355" s="961"/>
    </row>
    <row r="356" spans="1:11" s="947" customFormat="1">
      <c r="A356" s="1197"/>
      <c r="B356" s="958"/>
      <c r="C356" s="964"/>
      <c r="D356" s="964"/>
      <c r="E356" s="1192" t="s">
        <v>2245</v>
      </c>
      <c r="F356" s="1192"/>
      <c r="G356" s="1192"/>
      <c r="H356" s="960">
        <f>SUM(I348:I355)</f>
        <v>30.58</v>
      </c>
      <c r="I356" s="962" t="s">
        <v>2283</v>
      </c>
      <c r="J356" s="947">
        <v>2551</v>
      </c>
      <c r="K356" s="961"/>
    </row>
    <row r="357" spans="1:11" s="947" customFormat="1" ht="25.5" hidden="1" customHeight="1">
      <c r="A357" s="1199">
        <v>44</v>
      </c>
      <c r="B357" s="1196" t="str">
        <f>'[8]AR Police Qtrs'!C99</f>
        <v>Supplying and fixing of Cupboard shutter lock and key arrangements</v>
      </c>
      <c r="C357" s="1196"/>
      <c r="D357" s="1196"/>
      <c r="E357" s="1196"/>
      <c r="F357" s="1196"/>
      <c r="G357" s="1196"/>
      <c r="H357" s="1196"/>
      <c r="I357" s="1196"/>
    </row>
    <row r="358" spans="1:11" s="947" customFormat="1" ht="15" hidden="1" customHeight="1">
      <c r="A358" s="1199"/>
      <c r="B358" s="958" t="s">
        <v>6531</v>
      </c>
      <c r="C358" s="952">
        <v>1</v>
      </c>
      <c r="D358" s="952" t="s">
        <v>6432</v>
      </c>
      <c r="E358" s="952">
        <v>20</v>
      </c>
      <c r="F358" s="959"/>
      <c r="G358" s="959"/>
      <c r="H358" s="959"/>
      <c r="I358" s="959">
        <f>ROUND(PRODUCT(C358:H358),2)</f>
        <v>20</v>
      </c>
    </row>
    <row r="359" spans="1:11" s="947" customFormat="1" hidden="1">
      <c r="A359" s="1199"/>
      <c r="B359" s="958"/>
      <c r="C359" s="964"/>
      <c r="D359" s="964"/>
      <c r="E359" s="1192" t="s">
        <v>2245</v>
      </c>
      <c r="F359" s="1192"/>
      <c r="G359" s="1192"/>
      <c r="H359" s="960">
        <f>SUM(I357:I358)</f>
        <v>20</v>
      </c>
      <c r="I359" s="962" t="s">
        <v>1394</v>
      </c>
      <c r="J359" s="947">
        <v>20</v>
      </c>
      <c r="K359" s="961"/>
    </row>
    <row r="360" spans="1:11" s="947" customFormat="1" ht="25.5" hidden="1" customHeight="1">
      <c r="A360" s="1194">
        <v>45</v>
      </c>
      <c r="B360" s="1195" t="str">
        <f>'[8]AR Police Qtrs'!C101</f>
        <v>Supplying and fixing of steel handeles, peg stages for existing steel windows</v>
      </c>
      <c r="C360" s="1196"/>
      <c r="D360" s="1196"/>
      <c r="E360" s="1196"/>
      <c r="F360" s="1196"/>
      <c r="G360" s="1196"/>
      <c r="H360" s="1196"/>
      <c r="I360" s="1196"/>
      <c r="K360" s="961"/>
    </row>
    <row r="361" spans="1:11" s="947" customFormat="1" hidden="1">
      <c r="A361" s="1194"/>
      <c r="B361" s="958" t="s">
        <v>6532</v>
      </c>
      <c r="C361" s="952">
        <v>1</v>
      </c>
      <c r="D361" s="952" t="s">
        <v>6432</v>
      </c>
      <c r="E361" s="952">
        <v>160</v>
      </c>
      <c r="F361" s="959"/>
      <c r="G361" s="959"/>
      <c r="H361" s="959"/>
      <c r="I361" s="959">
        <f>ROUND(PRODUCT(C361:H361),2)</f>
        <v>160</v>
      </c>
    </row>
    <row r="362" spans="1:11" s="947" customFormat="1" hidden="1">
      <c r="A362" s="1194"/>
      <c r="B362" s="958" t="s">
        <v>6510</v>
      </c>
      <c r="C362" s="952"/>
      <c r="D362" s="952"/>
      <c r="E362" s="952"/>
      <c r="F362" s="959"/>
      <c r="G362" s="959"/>
      <c r="H362" s="959"/>
      <c r="I362" s="959"/>
      <c r="K362" s="961"/>
    </row>
    <row r="363" spans="1:11" s="947" customFormat="1" hidden="1">
      <c r="A363" s="1194"/>
      <c r="B363" s="958"/>
      <c r="C363" s="964"/>
      <c r="D363" s="964"/>
      <c r="E363" s="1192" t="s">
        <v>2245</v>
      </c>
      <c r="F363" s="1192"/>
      <c r="G363" s="1192"/>
      <c r="H363" s="960">
        <f>SUM(I361:I362)</f>
        <v>160</v>
      </c>
      <c r="I363" s="962" t="s">
        <v>1394</v>
      </c>
      <c r="J363" s="947">
        <v>160</v>
      </c>
      <c r="K363" s="961"/>
    </row>
    <row r="364" spans="1:11" s="947" customFormat="1" ht="47.25" hidden="1" customHeight="1">
      <c r="A364" s="1194">
        <v>46</v>
      </c>
      <c r="B364" s="1195" t="s">
        <v>6414</v>
      </c>
      <c r="C364" s="1196"/>
      <c r="D364" s="1196"/>
      <c r="E364" s="1196"/>
      <c r="F364" s="1196"/>
      <c r="G364" s="1196"/>
      <c r="H364" s="1196"/>
      <c r="I364" s="1196"/>
      <c r="K364" s="961"/>
    </row>
    <row r="365" spans="1:11" s="947" customFormat="1" hidden="1">
      <c r="A365" s="1194"/>
      <c r="B365" s="958"/>
      <c r="C365" s="952">
        <v>1</v>
      </c>
      <c r="D365" s="952" t="s">
        <v>6432</v>
      </c>
      <c r="E365" s="952">
        <v>4</v>
      </c>
      <c r="F365" s="959">
        <v>5</v>
      </c>
      <c r="G365" s="959">
        <v>2.5</v>
      </c>
      <c r="H365" s="959">
        <v>1.5</v>
      </c>
      <c r="I365" s="959">
        <f>ROUND(PRODUCT(C365:H365),2)</f>
        <v>75</v>
      </c>
    </row>
    <row r="366" spans="1:11" s="947" customFormat="1" hidden="1">
      <c r="A366" s="1194"/>
      <c r="B366" s="958" t="s">
        <v>6510</v>
      </c>
      <c r="C366" s="952"/>
      <c r="D366" s="952"/>
      <c r="E366" s="952"/>
      <c r="F366" s="959"/>
      <c r="G366" s="959"/>
      <c r="H366" s="959"/>
      <c r="I366" s="959"/>
      <c r="K366" s="961"/>
    </row>
    <row r="367" spans="1:11" s="947" customFormat="1" hidden="1">
      <c r="A367" s="1194"/>
      <c r="B367" s="958"/>
      <c r="C367" s="964"/>
      <c r="D367" s="964"/>
      <c r="E367" s="1192" t="s">
        <v>2245</v>
      </c>
      <c r="F367" s="1192"/>
      <c r="G367" s="1192"/>
      <c r="H367" s="960">
        <f>SUM(I364:I365)</f>
        <v>75</v>
      </c>
      <c r="I367" s="962" t="s">
        <v>2151</v>
      </c>
      <c r="J367" s="947">
        <v>160</v>
      </c>
      <c r="K367" s="961"/>
    </row>
    <row r="368" spans="1:11" s="947" customFormat="1" hidden="1">
      <c r="A368" s="1194"/>
      <c r="B368" s="958"/>
      <c r="C368" s="964"/>
      <c r="D368" s="964"/>
      <c r="E368" s="1192"/>
      <c r="F368" s="1192"/>
      <c r="G368" s="1192"/>
      <c r="H368" s="960" t="s">
        <v>6533</v>
      </c>
      <c r="I368" s="962"/>
      <c r="J368" s="947">
        <v>160</v>
      </c>
      <c r="K368" s="961"/>
    </row>
    <row r="369" spans="1:11" s="947" customFormat="1" hidden="1">
      <c r="A369" s="1194"/>
      <c r="B369" s="958"/>
      <c r="C369" s="964"/>
      <c r="D369" s="964"/>
      <c r="E369" s="1192" t="s">
        <v>4223</v>
      </c>
      <c r="F369" s="1192"/>
      <c r="G369" s="1192"/>
      <c r="H369" s="960">
        <v>13</v>
      </c>
      <c r="I369" s="962" t="s">
        <v>6412</v>
      </c>
      <c r="J369" s="947">
        <v>160</v>
      </c>
      <c r="K369" s="961"/>
    </row>
    <row r="370" spans="1:11" hidden="1">
      <c r="A370" s="1028"/>
      <c r="B370" s="1028"/>
      <c r="C370" s="1028"/>
      <c r="D370" s="1028"/>
      <c r="E370" s="1028"/>
      <c r="F370" s="1028"/>
      <c r="G370" s="1087" t="s">
        <v>4223</v>
      </c>
      <c r="H370" s="1028"/>
      <c r="I370" s="1028"/>
    </row>
    <row r="371" spans="1:11" hidden="1">
      <c r="A371" s="1028"/>
      <c r="B371" s="1028"/>
      <c r="C371" s="1028"/>
      <c r="D371" s="1028"/>
      <c r="E371" s="1028"/>
      <c r="F371" s="1028"/>
      <c r="G371" s="1028"/>
      <c r="H371" s="1028"/>
      <c r="I371" s="1028"/>
    </row>
    <row r="372" spans="1:11" s="947" customFormat="1" ht="40.5" hidden="1" customHeight="1">
      <c r="A372" s="1089">
        <v>15</v>
      </c>
      <c r="B372" s="1196" t="e">
        <f>'[8] Abstract'!#REF!</f>
        <v>#REF!</v>
      </c>
      <c r="C372" s="1196"/>
      <c r="D372" s="1196"/>
      <c r="E372" s="1196"/>
      <c r="F372" s="1196"/>
      <c r="G372" s="1196"/>
      <c r="H372" s="1196"/>
      <c r="I372" s="1196"/>
      <c r="J372" s="1029"/>
    </row>
    <row r="373" spans="1:11" s="947" customFormat="1" hidden="1">
      <c r="A373" s="952"/>
      <c r="B373" s="1030" t="s">
        <v>6463</v>
      </c>
      <c r="C373" s="1031">
        <v>1</v>
      </c>
      <c r="D373" s="1031" t="s">
        <v>6468</v>
      </c>
      <c r="E373" s="1031">
        <v>1</v>
      </c>
      <c r="F373" s="959"/>
      <c r="G373" s="952"/>
      <c r="H373" s="952"/>
      <c r="I373" s="959">
        <f>PRODUCT(C373:H373)</f>
        <v>1</v>
      </c>
      <c r="J373" s="1032"/>
    </row>
    <row r="374" spans="1:11" s="947" customFormat="1" hidden="1">
      <c r="A374" s="952"/>
      <c r="B374" s="952"/>
      <c r="C374" s="1031"/>
      <c r="D374" s="1031"/>
      <c r="E374" s="1031"/>
      <c r="F374" s="952"/>
      <c r="G374" s="952"/>
      <c r="H374" s="1033" t="s">
        <v>2245</v>
      </c>
      <c r="I374" s="1034">
        <f>SUM(I372:I373)</f>
        <v>1</v>
      </c>
      <c r="J374" s="1029" t="s">
        <v>1432</v>
      </c>
    </row>
    <row r="375" spans="1:11" s="1004" customFormat="1" ht="15.75" hidden="1">
      <c r="A375" s="1035"/>
      <c r="B375" s="952"/>
      <c r="C375" s="1031"/>
      <c r="D375" s="1031"/>
      <c r="E375" s="1031"/>
      <c r="F375" s="952"/>
      <c r="G375" s="1036" t="s">
        <v>6534</v>
      </c>
      <c r="H375" s="1034"/>
      <c r="I375" s="1033" t="s">
        <v>1398</v>
      </c>
      <c r="J375" s="947"/>
      <c r="K375" s="947"/>
    </row>
    <row r="376" spans="1:11" s="947" customFormat="1" ht="33" hidden="1" customHeight="1">
      <c r="A376" s="1194">
        <v>16</v>
      </c>
      <c r="B376" s="1195" t="s">
        <v>6414</v>
      </c>
      <c r="C376" s="1196"/>
      <c r="D376" s="1196"/>
      <c r="E376" s="1196"/>
      <c r="F376" s="1196"/>
      <c r="G376" s="1196"/>
      <c r="H376" s="1196"/>
      <c r="I376" s="1196"/>
      <c r="K376" s="961"/>
    </row>
    <row r="377" spans="1:11" s="947" customFormat="1" hidden="1">
      <c r="A377" s="1194"/>
      <c r="B377" s="958"/>
      <c r="C377" s="952">
        <v>1</v>
      </c>
      <c r="D377" s="952" t="s">
        <v>6432</v>
      </c>
      <c r="E377" s="952">
        <v>1</v>
      </c>
      <c r="F377" s="959">
        <v>4.5</v>
      </c>
      <c r="G377" s="959">
        <v>2.5</v>
      </c>
      <c r="H377" s="959">
        <v>1.5</v>
      </c>
      <c r="I377" s="959">
        <f>ROUND(PRODUCT(C377:H377),2)</f>
        <v>16.88</v>
      </c>
    </row>
    <row r="378" spans="1:11" s="947" customFormat="1" hidden="1">
      <c r="A378" s="1194"/>
      <c r="B378" s="958" t="s">
        <v>6510</v>
      </c>
      <c r="C378" s="952"/>
      <c r="D378" s="952"/>
      <c r="E378" s="952"/>
      <c r="F378" s="959"/>
      <c r="G378" s="959"/>
      <c r="H378" s="959"/>
      <c r="I378" s="959"/>
      <c r="K378" s="961"/>
    </row>
    <row r="379" spans="1:11" s="947" customFormat="1" hidden="1">
      <c r="A379" s="1194"/>
      <c r="B379" s="958"/>
      <c r="C379" s="964"/>
      <c r="D379" s="964"/>
      <c r="E379" s="1192" t="s">
        <v>2245</v>
      </c>
      <c r="F379" s="1192"/>
      <c r="G379" s="1192"/>
      <c r="H379" s="960">
        <f>SUM(I376:I377)</f>
        <v>16.88</v>
      </c>
      <c r="I379" s="962" t="s">
        <v>2151</v>
      </c>
      <c r="J379" s="947">
        <v>160</v>
      </c>
      <c r="K379" s="961"/>
    </row>
    <row r="380" spans="1:11" s="947" customFormat="1" hidden="1">
      <c r="A380" s="1194"/>
      <c r="B380" s="958"/>
      <c r="C380" s="964"/>
      <c r="D380" s="964"/>
      <c r="E380" s="1192"/>
      <c r="F380" s="1192"/>
      <c r="G380" s="1192"/>
      <c r="H380" s="960" t="s">
        <v>6533</v>
      </c>
      <c r="I380" s="962"/>
      <c r="J380" s="947">
        <v>160</v>
      </c>
      <c r="K380" s="961"/>
    </row>
    <row r="381" spans="1:11" s="947" customFormat="1" hidden="1">
      <c r="A381" s="1194"/>
      <c r="B381" s="958"/>
      <c r="C381" s="964"/>
      <c r="D381" s="964"/>
      <c r="E381" s="1192" t="s">
        <v>4223</v>
      </c>
      <c r="F381" s="1192"/>
      <c r="G381" s="1192"/>
      <c r="H381" s="960"/>
      <c r="I381" s="962" t="s">
        <v>6412</v>
      </c>
      <c r="J381" s="947">
        <v>160</v>
      </c>
      <c r="K381" s="961"/>
    </row>
    <row r="382" spans="1:11" hidden="1">
      <c r="A382" s="1028"/>
      <c r="B382" s="1028"/>
      <c r="C382" s="1028"/>
      <c r="D382" s="1028"/>
      <c r="E382" s="1028"/>
      <c r="F382" s="1028"/>
      <c r="G382" s="1028"/>
      <c r="H382" s="1028"/>
      <c r="I382" s="1028"/>
    </row>
    <row r="383" spans="1:11" hidden="1">
      <c r="A383" s="1028"/>
      <c r="B383" s="1028"/>
      <c r="C383" s="1028"/>
      <c r="D383" s="1028"/>
      <c r="E383" s="1028"/>
      <c r="F383" s="1028"/>
      <c r="G383" s="1028"/>
      <c r="H383" s="1028"/>
      <c r="I383" s="1028"/>
    </row>
    <row r="384" spans="1:11" hidden="1">
      <c r="A384" s="1028"/>
      <c r="B384" s="1028"/>
      <c r="C384" s="1028"/>
      <c r="D384" s="1028"/>
      <c r="E384" s="1028"/>
      <c r="F384" s="1028"/>
      <c r="G384" s="1028"/>
      <c r="H384" s="1028"/>
      <c r="I384" s="1028"/>
    </row>
    <row r="385" spans="1:11" hidden="1">
      <c r="A385" s="1028"/>
      <c r="B385" s="1028"/>
      <c r="C385" s="1028"/>
      <c r="D385" s="1028"/>
      <c r="E385" s="1028"/>
      <c r="F385" s="1028"/>
      <c r="G385" s="1028"/>
      <c r="H385" s="1028"/>
      <c r="I385" s="1028"/>
    </row>
    <row r="386" spans="1:11" hidden="1">
      <c r="A386" s="1028"/>
      <c r="B386" s="1028"/>
      <c r="C386" s="1028"/>
      <c r="D386" s="1028"/>
      <c r="E386" s="1028"/>
      <c r="F386" s="1028"/>
      <c r="G386" s="1028"/>
      <c r="H386" s="1028"/>
      <c r="I386" s="1028"/>
    </row>
    <row r="387" spans="1:11" hidden="1">
      <c r="A387" s="1028"/>
      <c r="B387" s="1028"/>
      <c r="C387" s="1028"/>
      <c r="D387" s="1028"/>
      <c r="E387" s="1028"/>
      <c r="F387" s="1028"/>
      <c r="G387" s="1028"/>
      <c r="H387" s="1028"/>
      <c r="I387" s="1028"/>
    </row>
    <row r="388" spans="1:11" hidden="1">
      <c r="A388" s="1028"/>
      <c r="B388" s="1028"/>
      <c r="C388" s="1028"/>
      <c r="D388" s="1028"/>
      <c r="E388" s="1028"/>
      <c r="F388" s="1028"/>
      <c r="G388" s="1028"/>
      <c r="H388" s="1028"/>
      <c r="I388" s="1028"/>
    </row>
    <row r="389" spans="1:11" hidden="1">
      <c r="A389" s="1028"/>
      <c r="B389" s="1028"/>
      <c r="C389" s="1028"/>
      <c r="D389" s="1028"/>
      <c r="E389" s="1028"/>
      <c r="F389" s="1028"/>
      <c r="G389" s="1028"/>
      <c r="H389" s="1028"/>
      <c r="I389" s="1028"/>
    </row>
    <row r="390" spans="1:11" hidden="1">
      <c r="A390" s="1028"/>
      <c r="B390" s="1028"/>
      <c r="C390" s="1028"/>
      <c r="D390" s="1028"/>
      <c r="E390" s="1028"/>
      <c r="F390" s="1028"/>
      <c r="G390" s="1028"/>
      <c r="H390" s="1028"/>
      <c r="I390" s="1028"/>
    </row>
    <row r="391" spans="1:11" hidden="1">
      <c r="A391" s="1028"/>
      <c r="B391" s="1028"/>
      <c r="C391" s="1028"/>
      <c r="D391" s="1028"/>
      <c r="E391" s="1028"/>
      <c r="F391" s="1028"/>
      <c r="G391" s="1028"/>
      <c r="H391" s="1028"/>
      <c r="I391" s="1028"/>
    </row>
    <row r="392" spans="1:11" hidden="1">
      <c r="A392" s="1028"/>
      <c r="B392" s="1028"/>
      <c r="C392" s="1028"/>
      <c r="D392" s="1028"/>
      <c r="E392" s="1028"/>
      <c r="F392" s="1028"/>
      <c r="G392" s="1028"/>
      <c r="H392" s="1028"/>
      <c r="I392" s="1028"/>
    </row>
    <row r="393" spans="1:11" hidden="1">
      <c r="A393" s="1028"/>
      <c r="B393" s="1028"/>
      <c r="C393" s="1028"/>
      <c r="D393" s="1028"/>
      <c r="E393" s="1028"/>
      <c r="F393" s="1028"/>
      <c r="G393" s="1028"/>
      <c r="H393" s="1028"/>
      <c r="I393" s="1028"/>
    </row>
    <row r="394" spans="1:11" hidden="1">
      <c r="A394" s="1028"/>
      <c r="B394" s="1028"/>
      <c r="C394" s="1028"/>
      <c r="D394" s="1028"/>
      <c r="E394" s="1028"/>
      <c r="F394" s="1028"/>
      <c r="G394" s="1028"/>
      <c r="H394" s="1028"/>
      <c r="I394" s="1028"/>
    </row>
    <row r="395" spans="1:11" s="947" customFormat="1" ht="33" hidden="1" customHeight="1">
      <c r="A395" s="1194">
        <v>30</v>
      </c>
      <c r="B395" s="1195" t="s">
        <v>6535</v>
      </c>
      <c r="C395" s="1196"/>
      <c r="D395" s="1196"/>
      <c r="E395" s="1196"/>
      <c r="F395" s="1196"/>
      <c r="G395" s="1196"/>
      <c r="H395" s="1196"/>
      <c r="I395" s="1196"/>
      <c r="K395" s="961"/>
    </row>
    <row r="396" spans="1:11" s="947" customFormat="1" hidden="1">
      <c r="A396" s="1194"/>
      <c r="B396" s="958"/>
      <c r="C396" s="952">
        <v>1</v>
      </c>
      <c r="D396" s="952" t="s">
        <v>6432</v>
      </c>
      <c r="E396" s="952">
        <v>1</v>
      </c>
      <c r="F396" s="959">
        <v>495.6</v>
      </c>
      <c r="G396" s="959"/>
      <c r="H396" s="959"/>
      <c r="I396" s="959"/>
    </row>
    <row r="397" spans="1:11" s="947" customFormat="1" hidden="1">
      <c r="A397" s="1194"/>
      <c r="B397" s="958" t="s">
        <v>6510</v>
      </c>
      <c r="C397" s="952"/>
      <c r="D397" s="952"/>
      <c r="E397" s="952"/>
      <c r="F397" s="959"/>
      <c r="G397" s="959"/>
      <c r="H397" s="959"/>
      <c r="I397" s="959"/>
      <c r="K397" s="961"/>
    </row>
    <row r="398" spans="1:11" s="947" customFormat="1" hidden="1">
      <c r="A398" s="1194"/>
      <c r="B398" s="958"/>
      <c r="C398" s="964"/>
      <c r="D398" s="964"/>
      <c r="E398" s="1192" t="s">
        <v>2245</v>
      </c>
      <c r="F398" s="1192"/>
      <c r="G398" s="1192"/>
      <c r="H398" s="960">
        <f>SUM(I395:I396)</f>
        <v>0</v>
      </c>
      <c r="I398" s="962" t="s">
        <v>826</v>
      </c>
      <c r="J398" s="947">
        <v>160</v>
      </c>
      <c r="K398" s="961"/>
    </row>
    <row r="399" spans="1:11" hidden="1">
      <c r="A399" s="1028"/>
      <c r="B399" s="1028"/>
      <c r="C399" s="1028"/>
      <c r="D399" s="1028"/>
      <c r="E399" s="1028"/>
      <c r="F399" s="1028"/>
      <c r="G399" s="1028"/>
      <c r="H399" s="1028"/>
      <c r="I399" s="1028"/>
    </row>
    <row r="400" spans="1:11" s="947" customFormat="1" ht="25.5" customHeight="1">
      <c r="A400" s="1197">
        <f>A347+1</f>
        <v>34</v>
      </c>
      <c r="B400" s="1195" t="s">
        <v>6536</v>
      </c>
      <c r="C400" s="1196"/>
      <c r="D400" s="1196"/>
      <c r="E400" s="1196"/>
      <c r="F400" s="1196"/>
      <c r="G400" s="1196"/>
      <c r="H400" s="1196"/>
      <c r="I400" s="1196"/>
      <c r="K400" s="1003"/>
    </row>
    <row r="401" spans="1:11" s="1004" customFormat="1" ht="16.5" customHeight="1">
      <c r="A401" s="1197"/>
      <c r="B401" s="958" t="s">
        <v>6537</v>
      </c>
      <c r="C401" s="952">
        <v>1</v>
      </c>
      <c r="D401" s="952" t="s">
        <v>6432</v>
      </c>
      <c r="E401" s="952">
        <v>1</v>
      </c>
      <c r="F401" s="959">
        <v>8</v>
      </c>
      <c r="G401" s="959">
        <v>7</v>
      </c>
      <c r="H401" s="959"/>
      <c r="I401" s="959">
        <f>ROUND(PRODUCT(C401:H401),2)</f>
        <v>56</v>
      </c>
    </row>
    <row r="402" spans="1:11" s="947" customFormat="1">
      <c r="A402" s="1197"/>
      <c r="B402" s="958"/>
      <c r="C402" s="964"/>
      <c r="D402" s="964"/>
      <c r="E402" s="1192" t="s">
        <v>2245</v>
      </c>
      <c r="F402" s="1192"/>
      <c r="G402" s="1192"/>
      <c r="H402" s="960">
        <f>SUM(I401:I401)</f>
        <v>56</v>
      </c>
      <c r="I402" s="962" t="s">
        <v>2283</v>
      </c>
      <c r="J402" s="947">
        <v>2551</v>
      </c>
      <c r="K402" s="961"/>
    </row>
    <row r="403" spans="1:11" s="947" customFormat="1" ht="19.5" customHeight="1">
      <c r="A403" s="1197">
        <f>A400+1</f>
        <v>35</v>
      </c>
      <c r="B403" s="1195" t="s">
        <v>6413</v>
      </c>
      <c r="C403" s="1196"/>
      <c r="D403" s="1196"/>
      <c r="E403" s="1196"/>
      <c r="F403" s="1196"/>
      <c r="G403" s="1196"/>
      <c r="H403" s="1196"/>
      <c r="I403" s="1196"/>
      <c r="K403" s="1003"/>
    </row>
    <row r="404" spans="1:11" s="1004" customFormat="1" ht="16.5" customHeight="1">
      <c r="A404" s="1197"/>
      <c r="B404" s="958"/>
      <c r="C404" s="952">
        <v>1</v>
      </c>
      <c r="D404" s="952" t="s">
        <v>6432</v>
      </c>
      <c r="E404" s="952">
        <v>1</v>
      </c>
      <c r="F404" s="959"/>
      <c r="G404" s="959"/>
      <c r="H404" s="959"/>
      <c r="I404" s="959">
        <f>ROUND(PRODUCT(C404:H404),2)</f>
        <v>1</v>
      </c>
    </row>
    <row r="405" spans="1:11" s="947" customFormat="1">
      <c r="A405" s="1197"/>
      <c r="B405" s="958"/>
      <c r="C405" s="964"/>
      <c r="D405" s="964"/>
      <c r="E405" s="1192" t="s">
        <v>2245</v>
      </c>
      <c r="F405" s="1192"/>
      <c r="G405" s="1192"/>
      <c r="H405" s="960">
        <f>SUM(I404:I404)</f>
        <v>1</v>
      </c>
      <c r="I405" s="962" t="s">
        <v>1394</v>
      </c>
      <c r="J405" s="947">
        <v>2551</v>
      </c>
      <c r="K405" s="961"/>
    </row>
    <row r="406" spans="1:11" s="947" customFormat="1" ht="25.5" customHeight="1">
      <c r="A406" s="1197">
        <f>A403+1</f>
        <v>36</v>
      </c>
      <c r="B406" s="1195" t="s">
        <v>6538</v>
      </c>
      <c r="C406" s="1196"/>
      <c r="D406" s="1196"/>
      <c r="E406" s="1196"/>
      <c r="F406" s="1196"/>
      <c r="G406" s="1196"/>
      <c r="H406" s="1196"/>
      <c r="I406" s="1196"/>
      <c r="K406" s="1003"/>
    </row>
    <row r="407" spans="1:11" s="1004" customFormat="1" ht="16.5" customHeight="1">
      <c r="A407" s="1197"/>
      <c r="B407" s="958"/>
      <c r="C407" s="952">
        <v>1</v>
      </c>
      <c r="D407" s="952" t="s">
        <v>6432</v>
      </c>
      <c r="E407" s="952">
        <v>1</v>
      </c>
      <c r="F407" s="959"/>
      <c r="G407" s="959"/>
      <c r="H407" s="959"/>
      <c r="I407" s="959">
        <f>ROUND(PRODUCT(C407:H407),2)</f>
        <v>1</v>
      </c>
    </row>
    <row r="408" spans="1:11" s="947" customFormat="1">
      <c r="A408" s="1197"/>
      <c r="B408" s="958"/>
      <c r="C408" s="964"/>
      <c r="D408" s="964"/>
      <c r="E408" s="1192" t="s">
        <v>2245</v>
      </c>
      <c r="F408" s="1192"/>
      <c r="G408" s="1192"/>
      <c r="H408" s="960">
        <f>SUM(I407:I407)</f>
        <v>1</v>
      </c>
      <c r="I408" s="962" t="s">
        <v>1394</v>
      </c>
      <c r="J408" s="947">
        <v>2551</v>
      </c>
      <c r="K408" s="961"/>
    </row>
    <row r="409" spans="1:11" s="947" customFormat="1" ht="33" customHeight="1">
      <c r="A409" s="1194">
        <f>A406+1</f>
        <v>37</v>
      </c>
      <c r="B409" s="1195" t="s">
        <v>6414</v>
      </c>
      <c r="C409" s="1196"/>
      <c r="D409" s="1196"/>
      <c r="E409" s="1196"/>
      <c r="F409" s="1196"/>
      <c r="G409" s="1196"/>
      <c r="H409" s="1196"/>
      <c r="I409" s="1196"/>
      <c r="K409" s="961"/>
    </row>
    <row r="410" spans="1:11" s="947" customFormat="1">
      <c r="A410" s="1194"/>
      <c r="B410" s="958"/>
      <c r="C410" s="952">
        <v>1</v>
      </c>
      <c r="D410" s="952" t="s">
        <v>6432</v>
      </c>
      <c r="E410" s="952">
        <v>1</v>
      </c>
      <c r="F410" s="959">
        <v>4</v>
      </c>
      <c r="G410" s="959">
        <v>2.5</v>
      </c>
      <c r="H410" s="959">
        <v>1.5</v>
      </c>
      <c r="I410" s="959">
        <f>ROUND(PRODUCT(C410:H410),2)</f>
        <v>15</v>
      </c>
    </row>
    <row r="411" spans="1:11" s="947" customFormat="1">
      <c r="A411" s="1194"/>
      <c r="B411" s="958" t="s">
        <v>6510</v>
      </c>
      <c r="C411" s="952"/>
      <c r="D411" s="952"/>
      <c r="E411" s="952"/>
      <c r="F411" s="959"/>
      <c r="G411" s="959"/>
      <c r="H411" s="959"/>
      <c r="I411" s="959"/>
      <c r="K411" s="961"/>
    </row>
    <row r="412" spans="1:11" s="947" customFormat="1">
      <c r="A412" s="1194"/>
      <c r="B412" s="958"/>
      <c r="C412" s="964"/>
      <c r="D412" s="964"/>
      <c r="E412" s="1192" t="s">
        <v>2245</v>
      </c>
      <c r="F412" s="1192"/>
      <c r="G412" s="1192"/>
      <c r="H412" s="960">
        <f>SUM(I410)</f>
        <v>15</v>
      </c>
      <c r="I412" s="962" t="s">
        <v>2151</v>
      </c>
      <c r="J412" s="947">
        <v>160</v>
      </c>
      <c r="K412" s="961"/>
    </row>
    <row r="413" spans="1:11" s="947" customFormat="1">
      <c r="A413" s="1194"/>
      <c r="B413" s="958"/>
      <c r="C413" s="964"/>
      <c r="D413" s="964"/>
      <c r="E413" s="1192"/>
      <c r="F413" s="1192"/>
      <c r="G413" s="1192"/>
      <c r="H413" s="960" t="s">
        <v>6533</v>
      </c>
      <c r="I413" s="962"/>
      <c r="J413" s="947">
        <v>160</v>
      </c>
      <c r="K413" s="961"/>
    </row>
    <row r="414" spans="1:11" s="947" customFormat="1">
      <c r="A414" s="1194"/>
      <c r="B414" s="958"/>
      <c r="C414" s="964"/>
      <c r="D414" s="964"/>
      <c r="E414" s="1192" t="s">
        <v>4223</v>
      </c>
      <c r="F414" s="1192"/>
      <c r="G414" s="1192"/>
      <c r="H414" s="960">
        <v>3</v>
      </c>
      <c r="I414" s="962" t="s">
        <v>6412</v>
      </c>
      <c r="J414" s="947">
        <v>160</v>
      </c>
      <c r="K414" s="961"/>
    </row>
    <row r="415" spans="1:11" s="1038" customFormat="1" ht="87" customHeight="1">
      <c r="A415" s="1037">
        <f>A409+1</f>
        <v>38</v>
      </c>
      <c r="B415" s="1198" t="s">
        <v>6567</v>
      </c>
      <c r="C415" s="1198"/>
      <c r="D415" s="1198"/>
      <c r="E415" s="1198"/>
      <c r="F415" s="1198"/>
      <c r="G415" s="1198"/>
      <c r="H415" s="1198"/>
      <c r="I415" s="1198"/>
    </row>
    <row r="416" spans="1:11" s="1038" customFormat="1" ht="18.75" customHeight="1">
      <c r="A416" s="1039"/>
      <c r="B416" s="1040" t="s">
        <v>6572</v>
      </c>
      <c r="C416" s="952">
        <v>1</v>
      </c>
      <c r="D416" s="952" t="s">
        <v>6432</v>
      </c>
      <c r="E416" s="952">
        <v>1</v>
      </c>
      <c r="F416" s="959">
        <v>5.95</v>
      </c>
      <c r="G416" s="959">
        <v>7.05</v>
      </c>
      <c r="H416" s="959"/>
      <c r="I416" s="959">
        <f>ROUND(PRODUCT(C416:H416),2)</f>
        <v>41.95</v>
      </c>
    </row>
    <row r="417" spans="1:9" s="1038" customFormat="1" ht="18.75" customHeight="1">
      <c r="A417" s="1039"/>
      <c r="B417" s="1040" t="s">
        <v>6576</v>
      </c>
      <c r="C417" s="952">
        <v>1</v>
      </c>
      <c r="D417" s="952" t="s">
        <v>6432</v>
      </c>
      <c r="E417" s="952">
        <v>1</v>
      </c>
      <c r="F417" s="959">
        <f>(F416+G416)*2</f>
        <v>26</v>
      </c>
      <c r="G417" s="959">
        <v>0.1</v>
      </c>
      <c r="H417" s="959"/>
      <c r="I417" s="959">
        <f t="shared" ref="I417:I434" si="15">ROUND(PRODUCT(C417:H417),2)</f>
        <v>2.6</v>
      </c>
    </row>
    <row r="418" spans="1:9" s="1038" customFormat="1" ht="15.75">
      <c r="A418" s="1039"/>
      <c r="B418" s="1041" t="s">
        <v>6326</v>
      </c>
      <c r="C418" s="952">
        <v>1</v>
      </c>
      <c r="D418" s="952" t="s">
        <v>6432</v>
      </c>
      <c r="E418" s="952">
        <v>1</v>
      </c>
      <c r="F418" s="959">
        <v>5.95</v>
      </c>
      <c r="G418" s="959">
        <v>3.35</v>
      </c>
      <c r="H418" s="959"/>
      <c r="I418" s="959">
        <f t="shared" si="15"/>
        <v>19.93</v>
      </c>
    </row>
    <row r="419" spans="1:9" s="1038" customFormat="1" ht="18.75" customHeight="1">
      <c r="A419" s="1039"/>
      <c r="B419" s="1040" t="s">
        <v>6444</v>
      </c>
      <c r="C419" s="952">
        <v>1</v>
      </c>
      <c r="D419" s="952" t="s">
        <v>6432</v>
      </c>
      <c r="E419" s="952">
        <v>1</v>
      </c>
      <c r="F419" s="959">
        <v>18.600000000000001</v>
      </c>
      <c r="G419" s="959">
        <v>0.1</v>
      </c>
      <c r="H419" s="959"/>
      <c r="I419" s="959">
        <f t="shared" si="15"/>
        <v>1.86</v>
      </c>
    </row>
    <row r="420" spans="1:9" s="1038" customFormat="1" ht="15.75">
      <c r="A420" s="1039"/>
      <c r="B420" s="1041" t="s">
        <v>6445</v>
      </c>
      <c r="C420" s="952">
        <v>1</v>
      </c>
      <c r="D420" s="952" t="s">
        <v>6432</v>
      </c>
      <c r="E420" s="952">
        <v>1</v>
      </c>
      <c r="F420" s="959">
        <v>3.1</v>
      </c>
      <c r="G420" s="959">
        <v>3.35</v>
      </c>
      <c r="H420" s="959"/>
      <c r="I420" s="959">
        <f t="shared" si="15"/>
        <v>10.39</v>
      </c>
    </row>
    <row r="421" spans="1:9" s="1038" customFormat="1" ht="18.75" customHeight="1">
      <c r="A421" s="1039"/>
      <c r="B421" s="1040" t="s">
        <v>6444</v>
      </c>
      <c r="C421" s="952">
        <v>1</v>
      </c>
      <c r="D421" s="952" t="s">
        <v>6432</v>
      </c>
      <c r="E421" s="952">
        <v>1</v>
      </c>
      <c r="F421" s="959">
        <v>12.9</v>
      </c>
      <c r="G421" s="959">
        <v>0.1</v>
      </c>
      <c r="H421" s="959"/>
      <c r="I421" s="959">
        <f t="shared" si="15"/>
        <v>1.29</v>
      </c>
    </row>
    <row r="422" spans="1:9" s="1038" customFormat="1" ht="15.75">
      <c r="A422" s="1039"/>
      <c r="B422" s="1041" t="s">
        <v>6456</v>
      </c>
      <c r="C422" s="952">
        <v>1</v>
      </c>
      <c r="D422" s="952" t="s">
        <v>6432</v>
      </c>
      <c r="E422" s="952">
        <v>1</v>
      </c>
      <c r="F422" s="959">
        <v>2.2999999999999998</v>
      </c>
      <c r="G422" s="959">
        <v>5.6</v>
      </c>
      <c r="H422" s="959"/>
      <c r="I422" s="959">
        <f t="shared" si="15"/>
        <v>12.88</v>
      </c>
    </row>
    <row r="423" spans="1:9" s="1038" customFormat="1" ht="15.75">
      <c r="A423" s="1039"/>
      <c r="B423" s="1041" t="s">
        <v>6456</v>
      </c>
      <c r="C423" s="952">
        <v>1</v>
      </c>
      <c r="D423" s="952" t="s">
        <v>6432</v>
      </c>
      <c r="E423" s="952">
        <v>1</v>
      </c>
      <c r="F423" s="959">
        <v>2</v>
      </c>
      <c r="G423" s="959">
        <v>0.8</v>
      </c>
      <c r="H423" s="959"/>
      <c r="I423" s="959">
        <f t="shared" si="15"/>
        <v>1.6</v>
      </c>
    </row>
    <row r="424" spans="1:9" s="1038" customFormat="1" ht="18.75" customHeight="1">
      <c r="A424" s="1039"/>
      <c r="B424" s="1040" t="s">
        <v>6444</v>
      </c>
      <c r="C424" s="952">
        <v>1</v>
      </c>
      <c r="D424" s="952" t="s">
        <v>6432</v>
      </c>
      <c r="E424" s="952">
        <v>1</v>
      </c>
      <c r="F424" s="959">
        <v>15.8</v>
      </c>
      <c r="G424" s="959">
        <v>0.1</v>
      </c>
      <c r="H424" s="959"/>
      <c r="I424" s="959">
        <f t="shared" si="15"/>
        <v>1.58</v>
      </c>
    </row>
    <row r="425" spans="1:9" s="1038" customFormat="1" ht="15.75">
      <c r="A425" s="1039"/>
      <c r="B425" s="1041" t="s">
        <v>6446</v>
      </c>
      <c r="C425" s="952">
        <v>1</v>
      </c>
      <c r="D425" s="952" t="s">
        <v>6432</v>
      </c>
      <c r="E425" s="952">
        <v>1</v>
      </c>
      <c r="F425" s="959">
        <v>4.75</v>
      </c>
      <c r="G425" s="959">
        <v>3.6</v>
      </c>
      <c r="H425" s="959"/>
      <c r="I425" s="959">
        <f t="shared" si="15"/>
        <v>17.100000000000001</v>
      </c>
    </row>
    <row r="426" spans="1:9" s="1038" customFormat="1" ht="18.75" customHeight="1">
      <c r="A426" s="1039"/>
      <c r="B426" s="1040" t="s">
        <v>6444</v>
      </c>
      <c r="C426" s="952">
        <v>1</v>
      </c>
      <c r="D426" s="952" t="s">
        <v>6432</v>
      </c>
      <c r="E426" s="952">
        <v>1</v>
      </c>
      <c r="F426" s="959">
        <v>16.7</v>
      </c>
      <c r="G426" s="959">
        <v>0.1</v>
      </c>
      <c r="H426" s="959"/>
      <c r="I426" s="959">
        <f t="shared" si="15"/>
        <v>1.67</v>
      </c>
    </row>
    <row r="427" spans="1:9" s="1038" customFormat="1" ht="15.75">
      <c r="A427" s="1039"/>
      <c r="B427" s="1041" t="s">
        <v>6573</v>
      </c>
      <c r="C427" s="952">
        <v>1</v>
      </c>
      <c r="D427" s="952" t="s">
        <v>6432</v>
      </c>
      <c r="E427" s="952">
        <v>1</v>
      </c>
      <c r="F427" s="959">
        <v>3</v>
      </c>
      <c r="G427" s="959">
        <v>2.5</v>
      </c>
      <c r="H427" s="959"/>
      <c r="I427" s="959">
        <f t="shared" si="15"/>
        <v>7.5</v>
      </c>
    </row>
    <row r="428" spans="1:9" s="1038" customFormat="1" ht="18.75" customHeight="1">
      <c r="A428" s="1039"/>
      <c r="B428" s="1040" t="s">
        <v>6444</v>
      </c>
      <c r="C428" s="952">
        <v>1</v>
      </c>
      <c r="D428" s="952" t="s">
        <v>6432</v>
      </c>
      <c r="E428" s="952">
        <v>1</v>
      </c>
      <c r="F428" s="959">
        <v>11</v>
      </c>
      <c r="G428" s="959">
        <v>0.1</v>
      </c>
      <c r="H428" s="959"/>
      <c r="I428" s="959">
        <f t="shared" si="15"/>
        <v>1.1000000000000001</v>
      </c>
    </row>
    <row r="429" spans="1:9" s="1038" customFormat="1" ht="15.75">
      <c r="A429" s="1039"/>
      <c r="B429" s="1041" t="s">
        <v>6575</v>
      </c>
      <c r="C429" s="952">
        <v>1</v>
      </c>
      <c r="D429" s="952" t="s">
        <v>6432</v>
      </c>
      <c r="E429" s="952">
        <v>1</v>
      </c>
      <c r="F429" s="959">
        <v>3</v>
      </c>
      <c r="G429" s="959">
        <v>3</v>
      </c>
      <c r="H429" s="959"/>
      <c r="I429" s="959">
        <f t="shared" si="15"/>
        <v>9</v>
      </c>
    </row>
    <row r="430" spans="1:9" s="1038" customFormat="1" ht="18.75" customHeight="1">
      <c r="A430" s="1039"/>
      <c r="B430" s="1040" t="s">
        <v>6444</v>
      </c>
      <c r="C430" s="952">
        <v>1</v>
      </c>
      <c r="D430" s="952" t="s">
        <v>6432</v>
      </c>
      <c r="E430" s="952">
        <v>1</v>
      </c>
      <c r="F430" s="959">
        <v>12</v>
      </c>
      <c r="G430" s="959">
        <v>0.1</v>
      </c>
      <c r="H430" s="959"/>
      <c r="I430" s="959">
        <f t="shared" si="15"/>
        <v>1.2</v>
      </c>
    </row>
    <row r="431" spans="1:9" s="1038" customFormat="1" ht="15.75">
      <c r="A431" s="1039"/>
      <c r="B431" s="1041" t="s">
        <v>6574</v>
      </c>
      <c r="C431" s="952">
        <v>1</v>
      </c>
      <c r="D431" s="952" t="s">
        <v>6432</v>
      </c>
      <c r="E431" s="952">
        <v>1</v>
      </c>
      <c r="F431" s="959">
        <v>3</v>
      </c>
      <c r="G431" s="959">
        <v>3.35</v>
      </c>
      <c r="H431" s="959"/>
      <c r="I431" s="959">
        <f t="shared" si="15"/>
        <v>10.050000000000001</v>
      </c>
    </row>
    <row r="432" spans="1:9" s="1038" customFormat="1" ht="18.75" customHeight="1">
      <c r="A432" s="1039"/>
      <c r="B432" s="1040" t="s">
        <v>6444</v>
      </c>
      <c r="C432" s="952">
        <v>1</v>
      </c>
      <c r="D432" s="952" t="s">
        <v>6432</v>
      </c>
      <c r="E432" s="952">
        <v>1</v>
      </c>
      <c r="F432" s="959">
        <v>12.7</v>
      </c>
      <c r="G432" s="959">
        <v>0.1</v>
      </c>
      <c r="H432" s="959"/>
      <c r="I432" s="959">
        <f t="shared" si="15"/>
        <v>1.27</v>
      </c>
    </row>
    <row r="433" spans="1:9" s="1038" customFormat="1" ht="18.75" customHeight="1">
      <c r="A433" s="1039"/>
      <c r="B433" s="1040" t="s">
        <v>6577</v>
      </c>
      <c r="C433" s="952">
        <v>1</v>
      </c>
      <c r="D433" s="952" t="s">
        <v>6432</v>
      </c>
      <c r="E433" s="952">
        <v>12</v>
      </c>
      <c r="F433" s="959">
        <v>1</v>
      </c>
      <c r="G433" s="959">
        <v>0.23</v>
      </c>
      <c r="H433" s="959"/>
      <c r="I433" s="959">
        <f t="shared" si="15"/>
        <v>2.76</v>
      </c>
    </row>
    <row r="434" spans="1:9" s="1038" customFormat="1" ht="18.75" customHeight="1">
      <c r="A434" s="1039"/>
      <c r="B434" s="1040" t="s">
        <v>6637</v>
      </c>
      <c r="C434" s="952">
        <v>1</v>
      </c>
      <c r="D434" s="952" t="s">
        <v>6432</v>
      </c>
      <c r="E434" s="952">
        <v>1</v>
      </c>
      <c r="F434" s="959">
        <v>2.2000000000000002</v>
      </c>
      <c r="G434" s="959">
        <v>0.9</v>
      </c>
      <c r="H434" s="959"/>
      <c r="I434" s="959">
        <f t="shared" si="15"/>
        <v>1.98</v>
      </c>
    </row>
    <row r="435" spans="1:9" s="1038" customFormat="1" ht="15.75">
      <c r="A435" s="1039"/>
      <c r="B435" s="1041"/>
      <c r="C435" s="964"/>
      <c r="D435" s="964"/>
      <c r="E435" s="1192" t="s">
        <v>2245</v>
      </c>
      <c r="F435" s="1192"/>
      <c r="G435" s="1192"/>
      <c r="H435" s="960">
        <f>SUM(I416:I434)</f>
        <v>147.71</v>
      </c>
      <c r="I435" s="962" t="s">
        <v>233</v>
      </c>
    </row>
    <row r="436" spans="1:9">
      <c r="A436" s="1028"/>
      <c r="B436" s="1028"/>
      <c r="C436" s="1028"/>
      <c r="D436" s="1028"/>
      <c r="E436" s="1028"/>
      <c r="F436" s="1028"/>
      <c r="G436" s="1028"/>
      <c r="H436" s="1028"/>
      <c r="I436" s="1028"/>
    </row>
    <row r="437" spans="1:9" s="1038" customFormat="1" ht="40.5" customHeight="1">
      <c r="A437" s="1037">
        <f>A415+1</f>
        <v>39</v>
      </c>
      <c r="B437" s="1198" t="s">
        <v>6568</v>
      </c>
      <c r="C437" s="1198"/>
      <c r="D437" s="1198"/>
      <c r="E437" s="1198"/>
      <c r="F437" s="1198"/>
      <c r="G437" s="1198"/>
      <c r="H437" s="1198"/>
      <c r="I437" s="1198"/>
    </row>
    <row r="438" spans="1:9" s="1038" customFormat="1" ht="18.75" customHeight="1">
      <c r="A438" s="1039"/>
      <c r="B438" s="1040" t="s">
        <v>6580</v>
      </c>
      <c r="C438" s="952">
        <v>1</v>
      </c>
      <c r="D438" s="952" t="s">
        <v>6432</v>
      </c>
      <c r="E438" s="952">
        <v>1</v>
      </c>
      <c r="F438" s="959"/>
      <c r="G438" s="959">
        <v>60</v>
      </c>
      <c r="H438" s="959"/>
      <c r="I438" s="959">
        <f t="shared" ref="I438" si="16">ROUND(PRODUCT(C438:H438),2)</f>
        <v>60</v>
      </c>
    </row>
    <row r="439" spans="1:9" s="1038" customFormat="1" ht="15.75">
      <c r="A439" s="1039"/>
      <c r="B439" s="1041"/>
      <c r="C439" s="964"/>
      <c r="D439" s="964"/>
      <c r="E439" s="1192" t="s">
        <v>2245</v>
      </c>
      <c r="F439" s="1192"/>
      <c r="G439" s="1192"/>
      <c r="H439" s="960">
        <f>SUM(I438:I438)</f>
        <v>60</v>
      </c>
      <c r="I439" s="962" t="s">
        <v>913</v>
      </c>
    </row>
    <row r="440" spans="1:9">
      <c r="A440" s="1028"/>
      <c r="B440" s="1028"/>
      <c r="C440" s="1028"/>
      <c r="D440" s="1028"/>
      <c r="E440" s="1028"/>
      <c r="F440" s="1028"/>
      <c r="G440" s="1028"/>
      <c r="H440" s="1028"/>
      <c r="I440" s="1028"/>
    </row>
    <row r="441" spans="1:9" s="1038" customFormat="1" ht="83.25" customHeight="1">
      <c r="A441" s="1037">
        <f>A437+1</f>
        <v>40</v>
      </c>
      <c r="B441" s="1198" t="s">
        <v>6569</v>
      </c>
      <c r="C441" s="1198"/>
      <c r="D441" s="1198"/>
      <c r="E441" s="1198"/>
      <c r="F441" s="1198"/>
      <c r="G441" s="1198"/>
      <c r="H441" s="1198"/>
      <c r="I441" s="1198"/>
    </row>
    <row r="442" spans="1:9" s="1038" customFormat="1" ht="18.75" customHeight="1">
      <c r="A442" s="1039"/>
      <c r="B442" s="1040" t="s">
        <v>6581</v>
      </c>
      <c r="C442" s="952">
        <v>1</v>
      </c>
      <c r="D442" s="952" t="s">
        <v>6432</v>
      </c>
      <c r="E442" s="952">
        <v>15</v>
      </c>
      <c r="F442" s="959">
        <v>0.55000000000000004</v>
      </c>
      <c r="G442" s="959"/>
      <c r="H442" s="959">
        <v>0.6</v>
      </c>
      <c r="I442" s="959">
        <f t="shared" ref="I442" si="17">ROUND(PRODUCT(C442:H442),2)</f>
        <v>4.95</v>
      </c>
    </row>
    <row r="443" spans="1:9" s="1038" customFormat="1" ht="15.75">
      <c r="A443" s="1039"/>
      <c r="B443" s="1041"/>
      <c r="C443" s="964"/>
      <c r="D443" s="964"/>
      <c r="E443" s="1192" t="s">
        <v>2245</v>
      </c>
      <c r="F443" s="1192"/>
      <c r="G443" s="1192"/>
      <c r="H443" s="960">
        <f>SUM(I442:I442)</f>
        <v>4.95</v>
      </c>
      <c r="I443" s="962" t="s">
        <v>233</v>
      </c>
    </row>
    <row r="444" spans="1:9">
      <c r="A444" s="1028"/>
      <c r="B444" s="1028"/>
      <c r="C444" s="1028"/>
      <c r="D444" s="1028"/>
      <c r="E444" s="1028"/>
      <c r="F444" s="1028"/>
      <c r="G444" s="1028"/>
      <c r="H444" s="1028"/>
      <c r="I444" s="1028"/>
    </row>
    <row r="445" spans="1:9" s="1038" customFormat="1" ht="83.25" customHeight="1">
      <c r="A445" s="1037">
        <f>A441+1</f>
        <v>41</v>
      </c>
      <c r="B445" s="1198" t="s">
        <v>6570</v>
      </c>
      <c r="C445" s="1198"/>
      <c r="D445" s="1198"/>
      <c r="E445" s="1198"/>
      <c r="F445" s="1198"/>
      <c r="G445" s="1198"/>
      <c r="H445" s="1198"/>
      <c r="I445" s="1198"/>
    </row>
    <row r="446" spans="1:9" s="1038" customFormat="1" ht="18.75" customHeight="1">
      <c r="A446" s="1039"/>
      <c r="B446" s="1040" t="s">
        <v>6578</v>
      </c>
      <c r="C446" s="952">
        <v>1</v>
      </c>
      <c r="D446" s="952" t="s">
        <v>6468</v>
      </c>
      <c r="E446" s="952">
        <v>1</v>
      </c>
      <c r="F446" s="959">
        <v>0.9</v>
      </c>
      <c r="G446" s="959">
        <v>1.2</v>
      </c>
      <c r="H446" s="959"/>
      <c r="I446" s="959">
        <f t="shared" ref="I446:I448" si="18">ROUND(PRODUCT(C446:H446),2)</f>
        <v>1.08</v>
      </c>
    </row>
    <row r="447" spans="1:9" s="1038" customFormat="1" ht="15.75">
      <c r="A447" s="1039"/>
      <c r="B447" s="1040" t="s">
        <v>6515</v>
      </c>
      <c r="C447" s="952">
        <v>1</v>
      </c>
      <c r="D447" s="952" t="s">
        <v>6432</v>
      </c>
      <c r="E447" s="952">
        <v>1</v>
      </c>
      <c r="F447" s="959">
        <v>1.5</v>
      </c>
      <c r="G447" s="959">
        <v>1.2</v>
      </c>
      <c r="H447" s="959"/>
      <c r="I447" s="959">
        <f t="shared" si="18"/>
        <v>1.8</v>
      </c>
    </row>
    <row r="448" spans="1:9" s="1038" customFormat="1" ht="15.75">
      <c r="A448" s="1039"/>
      <c r="B448" s="1040" t="s">
        <v>6579</v>
      </c>
      <c r="C448" s="952">
        <v>1</v>
      </c>
      <c r="D448" s="952" t="s">
        <v>6432</v>
      </c>
      <c r="E448" s="952">
        <v>1</v>
      </c>
      <c r="F448" s="959">
        <v>1.45</v>
      </c>
      <c r="G448" s="959">
        <v>1.6</v>
      </c>
      <c r="H448" s="959"/>
      <c r="I448" s="959">
        <f t="shared" si="18"/>
        <v>2.3199999999999998</v>
      </c>
    </row>
    <row r="449" spans="1:9" s="1038" customFormat="1" ht="15.75">
      <c r="A449" s="1039"/>
      <c r="B449" s="1041"/>
      <c r="C449" s="964"/>
      <c r="D449" s="964"/>
      <c r="E449" s="1192" t="s">
        <v>2245</v>
      </c>
      <c r="F449" s="1192"/>
      <c r="G449" s="1192"/>
      <c r="H449" s="960">
        <f>SUM(I446:I448)</f>
        <v>5.2</v>
      </c>
      <c r="I449" s="962" t="s">
        <v>233</v>
      </c>
    </row>
    <row r="450" spans="1:9">
      <c r="A450" s="1028"/>
      <c r="B450" s="1028"/>
      <c r="C450" s="1028"/>
      <c r="D450" s="1028"/>
      <c r="E450" s="1028"/>
      <c r="F450" s="1028"/>
      <c r="G450" s="1028"/>
      <c r="H450" s="1028"/>
      <c r="I450" s="1028"/>
    </row>
    <row r="451" spans="1:9" s="1038" customFormat="1" ht="83.25" customHeight="1">
      <c r="A451" s="1037">
        <f>A445+1</f>
        <v>42</v>
      </c>
      <c r="B451" s="1198" t="s">
        <v>6583</v>
      </c>
      <c r="C451" s="1198"/>
      <c r="D451" s="1198"/>
      <c r="E451" s="1198"/>
      <c r="F451" s="1198"/>
      <c r="G451" s="1198"/>
      <c r="H451" s="1198"/>
      <c r="I451" s="1198"/>
    </row>
    <row r="452" spans="1:9" s="1038" customFormat="1" ht="18.75" customHeight="1">
      <c r="A452" s="1039"/>
      <c r="B452" s="1040" t="s">
        <v>6578</v>
      </c>
      <c r="C452" s="952">
        <v>1</v>
      </c>
      <c r="D452" s="952" t="s">
        <v>6468</v>
      </c>
      <c r="E452" s="952">
        <v>1</v>
      </c>
      <c r="F452" s="959">
        <v>4.2</v>
      </c>
      <c r="G452" s="959"/>
      <c r="H452" s="959">
        <v>1.5</v>
      </c>
      <c r="I452" s="959">
        <f t="shared" ref="I452:I455" si="19">ROUND(PRODUCT(C452:H452),2)</f>
        <v>6.3</v>
      </c>
    </row>
    <row r="453" spans="1:9" s="1038" customFormat="1" ht="15.75">
      <c r="A453" s="1039"/>
      <c r="B453" s="1040" t="s">
        <v>6515</v>
      </c>
      <c r="C453" s="952">
        <v>1</v>
      </c>
      <c r="D453" s="952" t="s">
        <v>6432</v>
      </c>
      <c r="E453" s="952">
        <v>1</v>
      </c>
      <c r="F453" s="959">
        <v>5.4</v>
      </c>
      <c r="G453" s="959"/>
      <c r="H453" s="959">
        <v>1.5</v>
      </c>
      <c r="I453" s="959">
        <f t="shared" si="19"/>
        <v>8.1</v>
      </c>
    </row>
    <row r="454" spans="1:9" s="1038" customFormat="1" ht="15.75">
      <c r="A454" s="1039"/>
      <c r="B454" s="1040" t="s">
        <v>6584</v>
      </c>
      <c r="C454" s="952">
        <v>-1</v>
      </c>
      <c r="D454" s="952" t="s">
        <v>6432</v>
      </c>
      <c r="E454" s="952">
        <v>2</v>
      </c>
      <c r="F454" s="959">
        <v>0.75</v>
      </c>
      <c r="G454" s="959"/>
      <c r="H454" s="959">
        <v>1.5</v>
      </c>
      <c r="I454" s="959">
        <f t="shared" si="19"/>
        <v>-2.25</v>
      </c>
    </row>
    <row r="455" spans="1:9" s="1038" customFormat="1" ht="15.75">
      <c r="A455" s="1039"/>
      <c r="B455" s="1040" t="s">
        <v>6585</v>
      </c>
      <c r="C455" s="952">
        <v>2</v>
      </c>
      <c r="D455" s="952" t="s">
        <v>6432</v>
      </c>
      <c r="E455" s="952">
        <v>2</v>
      </c>
      <c r="F455" s="959">
        <v>0.12</v>
      </c>
      <c r="G455" s="959"/>
      <c r="H455" s="959">
        <v>1.5</v>
      </c>
      <c r="I455" s="959">
        <f t="shared" si="19"/>
        <v>0.72</v>
      </c>
    </row>
    <row r="456" spans="1:9" s="1038" customFormat="1" ht="15.75">
      <c r="A456" s="1039"/>
      <c r="B456" s="1041"/>
      <c r="C456" s="964"/>
      <c r="D456" s="964"/>
      <c r="E456" s="1192" t="s">
        <v>2245</v>
      </c>
      <c r="F456" s="1192"/>
      <c r="G456" s="1192"/>
      <c r="H456" s="960">
        <f>SUM(I452:I455)</f>
        <v>12.87</v>
      </c>
      <c r="I456" s="962" t="s">
        <v>233</v>
      </c>
    </row>
    <row r="457" spans="1:9" s="1038" customFormat="1" ht="60.75" customHeight="1">
      <c r="A457" s="1037">
        <f>A451+1</f>
        <v>43</v>
      </c>
      <c r="B457" s="1198" t="s">
        <v>6415</v>
      </c>
      <c r="C457" s="1198"/>
      <c r="D457" s="1198"/>
      <c r="E457" s="1198"/>
      <c r="F457" s="1198"/>
      <c r="G457" s="1198"/>
      <c r="H457" s="1198"/>
      <c r="I457" s="1198"/>
    </row>
    <row r="458" spans="1:9" ht="15.75">
      <c r="A458" s="1028"/>
      <c r="B458" s="1040" t="s">
        <v>6435</v>
      </c>
      <c r="C458" s="952">
        <v>1</v>
      </c>
      <c r="D458" s="952" t="s">
        <v>6432</v>
      </c>
      <c r="E458" s="952">
        <v>1</v>
      </c>
      <c r="F458" s="959">
        <v>15.5</v>
      </c>
      <c r="G458" s="959">
        <v>12.74</v>
      </c>
      <c r="H458" s="959"/>
      <c r="I458" s="959">
        <f t="shared" ref="I458:I460" si="20">ROUND(PRODUCT(C458:H458),2)</f>
        <v>197.47</v>
      </c>
    </row>
    <row r="459" spans="1:9" ht="15.75">
      <c r="A459" s="1028"/>
      <c r="B459" s="1040" t="s">
        <v>6586</v>
      </c>
      <c r="C459" s="952">
        <v>1</v>
      </c>
      <c r="D459" s="952" t="s">
        <v>6432</v>
      </c>
      <c r="E459" s="952">
        <v>1</v>
      </c>
      <c r="F459" s="959">
        <v>35</v>
      </c>
      <c r="G459" s="959">
        <v>0.6</v>
      </c>
      <c r="H459" s="959"/>
      <c r="I459" s="959">
        <f t="shared" si="20"/>
        <v>21</v>
      </c>
    </row>
    <row r="460" spans="1:9" ht="15.75">
      <c r="A460" s="1028"/>
      <c r="B460" s="1040" t="s">
        <v>6587</v>
      </c>
      <c r="C460" s="952">
        <v>1</v>
      </c>
      <c r="D460" s="952" t="s">
        <v>6432</v>
      </c>
      <c r="E460" s="952">
        <v>1</v>
      </c>
      <c r="F460" s="959">
        <v>5.92</v>
      </c>
      <c r="G460" s="959">
        <v>0.23</v>
      </c>
      <c r="H460" s="959"/>
      <c r="I460" s="959">
        <f t="shared" si="20"/>
        <v>1.36</v>
      </c>
    </row>
    <row r="461" spans="1:9">
      <c r="A461" s="1028"/>
      <c r="B461" s="1028"/>
      <c r="C461" s="1028"/>
      <c r="D461" s="1028"/>
      <c r="E461" s="1028"/>
      <c r="F461" s="1028"/>
      <c r="G461" s="1028" t="s">
        <v>2245</v>
      </c>
      <c r="H461" s="1028">
        <f>SUM(I458:I460)</f>
        <v>219.83</v>
      </c>
      <c r="I461" s="1028"/>
    </row>
    <row r="462" spans="1:9">
      <c r="A462" s="1028"/>
      <c r="B462" s="1028"/>
      <c r="C462" s="1028"/>
      <c r="D462" s="1028"/>
      <c r="E462" s="1028"/>
      <c r="F462" s="1028" t="s">
        <v>2245</v>
      </c>
      <c r="G462" s="1028">
        <v>0.85</v>
      </c>
      <c r="H462" s="1028">
        <f>H461*85%</f>
        <v>186.86</v>
      </c>
      <c r="I462" s="1028" t="s">
        <v>233</v>
      </c>
    </row>
    <row r="463" spans="1:9" s="1038" customFormat="1" ht="104.25" customHeight="1">
      <c r="A463" s="1037">
        <f>A457+1</f>
        <v>44</v>
      </c>
      <c r="B463" s="1198" t="s">
        <v>6588</v>
      </c>
      <c r="C463" s="1198"/>
      <c r="D463" s="1198"/>
      <c r="E463" s="1198"/>
      <c r="F463" s="1198"/>
      <c r="G463" s="1198"/>
      <c r="H463" s="1198"/>
      <c r="I463" s="1198"/>
    </row>
    <row r="464" spans="1:9" s="1038" customFormat="1" ht="24" customHeight="1">
      <c r="A464" s="1037"/>
      <c r="B464" s="1094" t="s">
        <v>6591</v>
      </c>
      <c r="C464" s="1094"/>
      <c r="D464" s="1094"/>
      <c r="E464" s="1094"/>
      <c r="F464" s="1094"/>
      <c r="G464" s="1094"/>
      <c r="H464" s="1094"/>
      <c r="I464" s="1094"/>
    </row>
    <row r="465" spans="1:9" ht="15.75">
      <c r="A465" s="1028"/>
      <c r="B465" s="1040" t="s">
        <v>6593</v>
      </c>
      <c r="C465" s="952">
        <v>1</v>
      </c>
      <c r="D465" s="952" t="s">
        <v>6432</v>
      </c>
      <c r="E465" s="952">
        <v>1</v>
      </c>
      <c r="F465" s="959">
        <v>45</v>
      </c>
      <c r="G465" s="959"/>
      <c r="H465" s="959"/>
      <c r="I465" s="959">
        <f t="shared" ref="I465" si="21">ROUND(PRODUCT(C465:H465),2)</f>
        <v>45</v>
      </c>
    </row>
    <row r="466" spans="1:9">
      <c r="A466" s="1028"/>
      <c r="B466" s="1028"/>
      <c r="C466" s="1028"/>
      <c r="D466" s="1028"/>
      <c r="E466" s="1028"/>
      <c r="F466" s="1028"/>
      <c r="G466" s="1028" t="s">
        <v>2245</v>
      </c>
      <c r="H466" s="1028">
        <f>SUM(I465:I465)</f>
        <v>45</v>
      </c>
      <c r="I466" s="1028" t="s">
        <v>826</v>
      </c>
    </row>
    <row r="467" spans="1:9" s="1038" customFormat="1" ht="24" customHeight="1">
      <c r="A467" s="1037"/>
      <c r="B467" s="1094" t="s">
        <v>6592</v>
      </c>
      <c r="C467" s="1094"/>
      <c r="D467" s="1094"/>
      <c r="E467" s="1094"/>
      <c r="F467" s="1094"/>
      <c r="G467" s="1094"/>
      <c r="H467" s="1094"/>
      <c r="I467" s="1094"/>
    </row>
    <row r="468" spans="1:9" ht="15.75">
      <c r="A468" s="1028"/>
      <c r="B468" s="1040" t="s">
        <v>6594</v>
      </c>
      <c r="C468" s="952">
        <v>1</v>
      </c>
      <c r="D468" s="952" t="s">
        <v>6432</v>
      </c>
      <c r="E468" s="952">
        <v>1</v>
      </c>
      <c r="F468" s="959">
        <v>35</v>
      </c>
      <c r="G468" s="959"/>
      <c r="H468" s="959"/>
      <c r="I468" s="959">
        <f t="shared" ref="I468" si="22">ROUND(PRODUCT(C468:H468),2)</f>
        <v>35</v>
      </c>
    </row>
    <row r="469" spans="1:9">
      <c r="A469" s="1028"/>
      <c r="B469" s="1028"/>
      <c r="C469" s="1028"/>
      <c r="D469" s="1028"/>
      <c r="E469" s="1028"/>
      <c r="F469" s="1028"/>
      <c r="G469" s="1028" t="s">
        <v>2245</v>
      </c>
      <c r="H469" s="1028">
        <f>SUM(I468:I468)</f>
        <v>35</v>
      </c>
      <c r="I469" s="1028" t="s">
        <v>826</v>
      </c>
    </row>
    <row r="470" spans="1:9" s="1038" customFormat="1" ht="24" customHeight="1">
      <c r="A470" s="1037"/>
      <c r="B470" s="1094" t="s">
        <v>6596</v>
      </c>
      <c r="C470" s="1094"/>
      <c r="D470" s="1094"/>
      <c r="E470" s="1094"/>
      <c r="F470" s="1094"/>
      <c r="G470" s="1094"/>
      <c r="H470" s="1094"/>
      <c r="I470" s="1094"/>
    </row>
    <row r="471" spans="1:9" ht="15.75">
      <c r="A471" s="1028"/>
      <c r="B471" s="1040" t="s">
        <v>6594</v>
      </c>
      <c r="C471" s="952">
        <v>1</v>
      </c>
      <c r="D471" s="952" t="s">
        <v>6432</v>
      </c>
      <c r="E471" s="952">
        <v>1</v>
      </c>
      <c r="F471" s="959">
        <v>15</v>
      </c>
      <c r="G471" s="959"/>
      <c r="H471" s="959"/>
      <c r="I471" s="959">
        <f t="shared" ref="I471" si="23">ROUND(PRODUCT(C471:H471),2)</f>
        <v>15</v>
      </c>
    </row>
    <row r="472" spans="1:9">
      <c r="A472" s="1028"/>
      <c r="B472" s="1028"/>
      <c r="C472" s="1028"/>
      <c r="D472" s="1028"/>
      <c r="E472" s="1028"/>
      <c r="F472" s="1028"/>
      <c r="G472" s="1028" t="s">
        <v>2245</v>
      </c>
      <c r="H472" s="1028">
        <f>SUM(I471:I471)</f>
        <v>15</v>
      </c>
      <c r="I472" s="1028" t="s">
        <v>826</v>
      </c>
    </row>
    <row r="473" spans="1:9" ht="87.75" customHeight="1">
      <c r="A473" s="1098">
        <f>A463+1</f>
        <v>45</v>
      </c>
      <c r="B473" s="1191" t="s">
        <v>6635</v>
      </c>
      <c r="C473" s="1191"/>
      <c r="D473" s="1191"/>
      <c r="E473" s="1191"/>
      <c r="F473" s="1191"/>
      <c r="G473" s="1191"/>
      <c r="H473" s="1191"/>
      <c r="I473" s="1191"/>
    </row>
    <row r="474" spans="1:9">
      <c r="A474" s="1028"/>
      <c r="B474" s="958" t="s">
        <v>6537</v>
      </c>
      <c r="C474" s="952">
        <v>1</v>
      </c>
      <c r="D474" s="952" t="s">
        <v>6432</v>
      </c>
      <c r="E474" s="952">
        <v>1</v>
      </c>
      <c r="F474" s="959">
        <v>8</v>
      </c>
      <c r="G474" s="959">
        <v>7</v>
      </c>
      <c r="H474" s="959">
        <v>0.08</v>
      </c>
      <c r="I474" s="959">
        <f>ROUND(PRODUCT(C474:H474),2)</f>
        <v>4.4800000000000004</v>
      </c>
    </row>
    <row r="475" spans="1:9">
      <c r="A475" s="1028"/>
      <c r="B475" s="958"/>
      <c r="C475" s="964"/>
      <c r="D475" s="964"/>
      <c r="E475" s="1192" t="s">
        <v>2245</v>
      </c>
      <c r="F475" s="1192"/>
      <c r="G475" s="1192"/>
      <c r="H475" s="960">
        <f>SUM(I474:I474)</f>
        <v>4.4800000000000004</v>
      </c>
      <c r="I475" s="962" t="s">
        <v>869</v>
      </c>
    </row>
    <row r="480" spans="1:9">
      <c r="A480" s="1193" t="s">
        <v>6636</v>
      </c>
      <c r="B480" s="1193"/>
      <c r="C480" s="1193"/>
      <c r="D480" s="1193"/>
      <c r="E480" s="1193"/>
      <c r="F480" s="1193"/>
      <c r="G480" s="1193"/>
      <c r="H480" s="1193"/>
      <c r="I480" s="1193"/>
    </row>
  </sheetData>
  <mergeCells count="198">
    <mergeCell ref="E439:G439"/>
    <mergeCell ref="B441:I441"/>
    <mergeCell ref="B42:I42"/>
    <mergeCell ref="A8:A12"/>
    <mergeCell ref="B8:I8"/>
    <mergeCell ref="B9:I9"/>
    <mergeCell ref="E12:G12"/>
    <mergeCell ref="A13:A15"/>
    <mergeCell ref="B13:I13"/>
    <mergeCell ref="E15:G15"/>
    <mergeCell ref="A33:A37"/>
    <mergeCell ref="B33:I33"/>
    <mergeCell ref="E37:G37"/>
    <mergeCell ref="A47:A50"/>
    <mergeCell ref="E50:G50"/>
    <mergeCell ref="A51:A57"/>
    <mergeCell ref="B51:I51"/>
    <mergeCell ref="E57:G57"/>
    <mergeCell ref="A58:A62"/>
    <mergeCell ref="B58:I58"/>
    <mergeCell ref="E62:G62"/>
    <mergeCell ref="A38:A41"/>
    <mergeCell ref="B38:I38"/>
    <mergeCell ref="E41:G41"/>
    <mergeCell ref="A1:I1"/>
    <mergeCell ref="A2:I2"/>
    <mergeCell ref="A3:I3"/>
    <mergeCell ref="A4:I4"/>
    <mergeCell ref="A5:I5"/>
    <mergeCell ref="C7:E7"/>
    <mergeCell ref="A29:A32"/>
    <mergeCell ref="B29:I29"/>
    <mergeCell ref="E32:G32"/>
    <mergeCell ref="A16:A20"/>
    <mergeCell ref="B16:I16"/>
    <mergeCell ref="E20:G20"/>
    <mergeCell ref="B21:I21"/>
    <mergeCell ref="E24:G24"/>
    <mergeCell ref="A25:A28"/>
    <mergeCell ref="B25:I25"/>
    <mergeCell ref="E28:G28"/>
    <mergeCell ref="E76:G76"/>
    <mergeCell ref="A77:A80"/>
    <mergeCell ref="B77:I77"/>
    <mergeCell ref="E80:G80"/>
    <mergeCell ref="A81:A83"/>
    <mergeCell ref="B81:I81"/>
    <mergeCell ref="E83:G83"/>
    <mergeCell ref="A63:A66"/>
    <mergeCell ref="B63:I63"/>
    <mergeCell ref="E66:G66"/>
    <mergeCell ref="A67:A76"/>
    <mergeCell ref="B67:I67"/>
    <mergeCell ref="B68:I68"/>
    <mergeCell ref="E70:G70"/>
    <mergeCell ref="B71:I71"/>
    <mergeCell ref="E73:G73"/>
    <mergeCell ref="B74:I74"/>
    <mergeCell ref="B113:I113"/>
    <mergeCell ref="A118:A127"/>
    <mergeCell ref="B118:I118"/>
    <mergeCell ref="E127:G127"/>
    <mergeCell ref="A128:A132"/>
    <mergeCell ref="B128:I128"/>
    <mergeCell ref="E132:G132"/>
    <mergeCell ref="B84:E84"/>
    <mergeCell ref="A108:A112"/>
    <mergeCell ref="B108:I108"/>
    <mergeCell ref="B109:I109"/>
    <mergeCell ref="E112:G112"/>
    <mergeCell ref="B87:I87"/>
    <mergeCell ref="B96:I96"/>
    <mergeCell ref="A147:A155"/>
    <mergeCell ref="B147:I147"/>
    <mergeCell ref="E155:G155"/>
    <mergeCell ref="A156:A159"/>
    <mergeCell ref="B156:I156"/>
    <mergeCell ref="E159:G159"/>
    <mergeCell ref="A133:A137"/>
    <mergeCell ref="B133:I133"/>
    <mergeCell ref="E137:G137"/>
    <mergeCell ref="A138:A146"/>
    <mergeCell ref="B138:I138"/>
    <mergeCell ref="E146:G146"/>
    <mergeCell ref="A167:A170"/>
    <mergeCell ref="B167:I167"/>
    <mergeCell ref="E170:G170"/>
    <mergeCell ref="A171:A173"/>
    <mergeCell ref="B171:I171"/>
    <mergeCell ref="E173:G173"/>
    <mergeCell ref="A160:A166"/>
    <mergeCell ref="B160:I160"/>
    <mergeCell ref="B161:I161"/>
    <mergeCell ref="E163:G163"/>
    <mergeCell ref="B164:I164"/>
    <mergeCell ref="E166:G166"/>
    <mergeCell ref="A177:A179"/>
    <mergeCell ref="B177:I177"/>
    <mergeCell ref="E179:G179"/>
    <mergeCell ref="A180:A182"/>
    <mergeCell ref="B180:I180"/>
    <mergeCell ref="E182:G182"/>
    <mergeCell ref="A174:A176"/>
    <mergeCell ref="B174:I174"/>
    <mergeCell ref="E176:G176"/>
    <mergeCell ref="A205:A208"/>
    <mergeCell ref="B205:I205"/>
    <mergeCell ref="E208:G208"/>
    <mergeCell ref="A209:A212"/>
    <mergeCell ref="B209:I209"/>
    <mergeCell ref="E212:G212"/>
    <mergeCell ref="A183:A194"/>
    <mergeCell ref="B183:I183"/>
    <mergeCell ref="A195:A201"/>
    <mergeCell ref="B195:I195"/>
    <mergeCell ref="A202:A204"/>
    <mergeCell ref="B202:I202"/>
    <mergeCell ref="E204:G204"/>
    <mergeCell ref="A225:A229"/>
    <mergeCell ref="B225:I225"/>
    <mergeCell ref="E229:G229"/>
    <mergeCell ref="A230:A235"/>
    <mergeCell ref="B230:I230"/>
    <mergeCell ref="E235:G235"/>
    <mergeCell ref="A213:A218"/>
    <mergeCell ref="B213:I213"/>
    <mergeCell ref="E218:G218"/>
    <mergeCell ref="A219:A224"/>
    <mergeCell ref="B219:I219"/>
    <mergeCell ref="E224:G224"/>
    <mergeCell ref="A242:A244"/>
    <mergeCell ref="B242:I242"/>
    <mergeCell ref="E244:G244"/>
    <mergeCell ref="A245:A303"/>
    <mergeCell ref="B245:I245"/>
    <mergeCell ref="E303:G303"/>
    <mergeCell ref="A236:A241"/>
    <mergeCell ref="B236:I236"/>
    <mergeCell ref="E241:G241"/>
    <mergeCell ref="A340:A346"/>
    <mergeCell ref="B340:I340"/>
    <mergeCell ref="E346:G346"/>
    <mergeCell ref="A347:A356"/>
    <mergeCell ref="B347:I347"/>
    <mergeCell ref="E356:G356"/>
    <mergeCell ref="A304:A320"/>
    <mergeCell ref="B304:I304"/>
    <mergeCell ref="E320:G320"/>
    <mergeCell ref="A321:A339"/>
    <mergeCell ref="B321:I321"/>
    <mergeCell ref="E339:G339"/>
    <mergeCell ref="A364:A369"/>
    <mergeCell ref="B364:I364"/>
    <mergeCell ref="E367:G367"/>
    <mergeCell ref="E368:G368"/>
    <mergeCell ref="E369:G369"/>
    <mergeCell ref="B372:I372"/>
    <mergeCell ref="A357:A359"/>
    <mergeCell ref="B357:I357"/>
    <mergeCell ref="E359:G359"/>
    <mergeCell ref="A360:A363"/>
    <mergeCell ref="B360:I360"/>
    <mergeCell ref="E363:G363"/>
    <mergeCell ref="A400:A402"/>
    <mergeCell ref="B400:I400"/>
    <mergeCell ref="E402:G402"/>
    <mergeCell ref="A376:A381"/>
    <mergeCell ref="B376:I376"/>
    <mergeCell ref="E379:G379"/>
    <mergeCell ref="E380:G380"/>
    <mergeCell ref="E381:G381"/>
    <mergeCell ref="A395:A398"/>
    <mergeCell ref="B395:I395"/>
    <mergeCell ref="E398:G398"/>
    <mergeCell ref="B473:I473"/>
    <mergeCell ref="E475:G475"/>
    <mergeCell ref="A480:I480"/>
    <mergeCell ref="A409:A414"/>
    <mergeCell ref="B409:I409"/>
    <mergeCell ref="E412:G412"/>
    <mergeCell ref="E413:G413"/>
    <mergeCell ref="E414:G414"/>
    <mergeCell ref="A403:A405"/>
    <mergeCell ref="B403:I403"/>
    <mergeCell ref="E405:G405"/>
    <mergeCell ref="A406:A408"/>
    <mergeCell ref="B406:I406"/>
    <mergeCell ref="E408:G408"/>
    <mergeCell ref="E443:G443"/>
    <mergeCell ref="B445:I445"/>
    <mergeCell ref="E449:G449"/>
    <mergeCell ref="B451:I451"/>
    <mergeCell ref="E456:G456"/>
    <mergeCell ref="B457:I457"/>
    <mergeCell ref="B463:I463"/>
    <mergeCell ref="B415:I415"/>
    <mergeCell ref="E435:G435"/>
    <mergeCell ref="B437:I437"/>
  </mergeCells>
  <pageMargins left="0.70866141732283505" right="0.23" top="0.18" bottom="0.25" header="0.16" footer="0.16"/>
  <pageSetup paperSize="9" scale="96" orientation="portrait"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705"/>
  <sheetViews>
    <sheetView view="pageBreakPreview" topLeftCell="A670" zoomScaleSheetLayoutView="100" workbookViewId="0">
      <selection activeCell="F685" sqref="F685"/>
    </sheetView>
  </sheetViews>
  <sheetFormatPr defaultRowHeight="15.75"/>
  <cols>
    <col min="1" max="1" width="9.109375" customWidth="1"/>
    <col min="3" max="3" width="41" customWidth="1"/>
    <col min="4" max="4" width="10.21875" customWidth="1"/>
    <col min="6" max="6" width="14.44140625" style="4"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407"/>
    </row>
    <row r="2" spans="1:6">
      <c r="A2" s="252"/>
      <c r="B2" s="252"/>
      <c r="C2" s="1044" t="s">
        <v>652</v>
      </c>
      <c r="D2" s="252"/>
      <c r="E2" s="296"/>
      <c r="F2" s="407"/>
    </row>
    <row r="3" spans="1:6">
      <c r="A3" s="1045" t="s">
        <v>1585</v>
      </c>
      <c r="B3" s="252" t="s">
        <v>975</v>
      </c>
      <c r="C3" s="274" t="s">
        <v>6563</v>
      </c>
      <c r="D3" s="252"/>
      <c r="E3" s="276"/>
      <c r="F3" s="407"/>
    </row>
    <row r="4" spans="1:6">
      <c r="A4" s="358" t="s">
        <v>1586</v>
      </c>
      <c r="B4" s="358" t="s">
        <v>1586</v>
      </c>
      <c r="C4" s="358" t="s">
        <v>1586</v>
      </c>
      <c r="D4" s="358" t="s">
        <v>1586</v>
      </c>
      <c r="E4" s="358" t="s">
        <v>1586</v>
      </c>
      <c r="F4" s="407" t="s">
        <v>1586</v>
      </c>
    </row>
    <row r="5" spans="1:6">
      <c r="A5" s="1045" t="s">
        <v>1588</v>
      </c>
      <c r="B5" s="252" t="s">
        <v>975</v>
      </c>
      <c r="C5" s="1043" t="s">
        <v>1589</v>
      </c>
      <c r="D5" s="1043" t="s">
        <v>1590</v>
      </c>
      <c r="E5" s="1043" t="s">
        <v>1591</v>
      </c>
      <c r="F5" s="1045" t="s">
        <v>1592</v>
      </c>
    </row>
    <row r="6" spans="1:6">
      <c r="A6" s="358" t="s">
        <v>1586</v>
      </c>
      <c r="B6" s="358" t="s">
        <v>1586</v>
      </c>
      <c r="C6" s="358" t="s">
        <v>1586</v>
      </c>
      <c r="D6" s="358" t="s">
        <v>1586</v>
      </c>
      <c r="E6" s="358" t="s">
        <v>1586</v>
      </c>
      <c r="F6" s="407" t="s">
        <v>1586</v>
      </c>
    </row>
    <row r="7" spans="1:6">
      <c r="A7" s="252"/>
      <c r="B7" s="252" t="s">
        <v>2251</v>
      </c>
      <c r="C7" s="296" t="s">
        <v>1353</v>
      </c>
      <c r="D7" s="252"/>
      <c r="E7" s="296"/>
      <c r="F7" s="407"/>
    </row>
    <row r="8" spans="1:6">
      <c r="A8" s="252"/>
      <c r="B8" s="252"/>
      <c r="C8" s="358" t="s">
        <v>1586</v>
      </c>
      <c r="D8" s="252"/>
      <c r="E8" s="296"/>
      <c r="F8" s="407"/>
    </row>
    <row r="9" spans="1:6">
      <c r="A9" s="252">
        <v>0.48</v>
      </c>
      <c r="B9" s="252" t="s">
        <v>861</v>
      </c>
      <c r="C9" s="296" t="s">
        <v>862</v>
      </c>
      <c r="D9" s="252">
        <v>6040</v>
      </c>
      <c r="E9" s="296" t="s">
        <v>861</v>
      </c>
      <c r="F9" s="407">
        <v>2899.2</v>
      </c>
    </row>
    <row r="10" spans="1:6">
      <c r="A10" s="252">
        <v>1</v>
      </c>
      <c r="B10" s="252" t="s">
        <v>869</v>
      </c>
      <c r="C10" s="296" t="s">
        <v>870</v>
      </c>
      <c r="D10" s="252">
        <v>1741.58</v>
      </c>
      <c r="E10" s="296" t="s">
        <v>869</v>
      </c>
      <c r="F10" s="407">
        <v>1741.58</v>
      </c>
    </row>
    <row r="11" spans="1:6">
      <c r="A11" s="252">
        <v>1</v>
      </c>
      <c r="B11" s="252" t="s">
        <v>869</v>
      </c>
      <c r="C11" s="296" t="s">
        <v>874</v>
      </c>
      <c r="D11" s="252">
        <v>116</v>
      </c>
      <c r="E11" s="296" t="s">
        <v>869</v>
      </c>
      <c r="F11" s="407">
        <v>116</v>
      </c>
    </row>
    <row r="12" spans="1:6">
      <c r="A12" s="252"/>
      <c r="B12" s="252" t="s">
        <v>449</v>
      </c>
      <c r="C12" s="296" t="s">
        <v>450</v>
      </c>
      <c r="D12" s="252" t="s">
        <v>975</v>
      </c>
      <c r="E12" s="296" t="s">
        <v>449</v>
      </c>
      <c r="F12" s="407">
        <v>0</v>
      </c>
    </row>
    <row r="13" spans="1:6">
      <c r="A13" s="252"/>
      <c r="B13" s="252"/>
      <c r="C13" s="252"/>
      <c r="D13" s="252"/>
      <c r="E13" s="296"/>
      <c r="F13" s="407" t="s">
        <v>1586</v>
      </c>
    </row>
    <row r="14" spans="1:6">
      <c r="A14" s="252"/>
      <c r="B14" s="252"/>
      <c r="C14" s="296" t="s">
        <v>1516</v>
      </c>
      <c r="D14" s="252"/>
      <c r="E14" s="296"/>
      <c r="F14" s="1079">
        <v>4756.78</v>
      </c>
    </row>
    <row r="15" spans="1:6">
      <c r="A15" s="252"/>
      <c r="B15" s="252"/>
      <c r="C15" s="252"/>
      <c r="D15" s="252"/>
      <c r="E15" s="296"/>
      <c r="F15" s="407" t="s">
        <v>1586</v>
      </c>
    </row>
    <row r="16" spans="1:6">
      <c r="A16" s="252"/>
      <c r="B16" s="252" t="s">
        <v>2251</v>
      </c>
      <c r="C16" s="296" t="s">
        <v>1307</v>
      </c>
      <c r="D16" s="252"/>
      <c r="E16" s="296"/>
      <c r="F16" s="407"/>
    </row>
    <row r="17" spans="1:6">
      <c r="A17" s="252">
        <v>0.36</v>
      </c>
      <c r="B17" s="252" t="s">
        <v>861</v>
      </c>
      <c r="C17" s="358" t="s">
        <v>862</v>
      </c>
      <c r="D17" s="252">
        <v>6040</v>
      </c>
      <c r="E17" s="296" t="s">
        <v>861</v>
      </c>
      <c r="F17" s="407">
        <v>2174.4</v>
      </c>
    </row>
    <row r="18" spans="1:6">
      <c r="A18" s="252">
        <v>1</v>
      </c>
      <c r="B18" s="252" t="s">
        <v>869</v>
      </c>
      <c r="C18" s="296" t="s">
        <v>870</v>
      </c>
      <c r="D18" s="252">
        <v>1741.58</v>
      </c>
      <c r="E18" s="296" t="s">
        <v>869</v>
      </c>
      <c r="F18" s="407">
        <v>1741.58</v>
      </c>
    </row>
    <row r="19" spans="1:6">
      <c r="A19" s="252">
        <v>1</v>
      </c>
      <c r="B19" s="252" t="s">
        <v>869</v>
      </c>
      <c r="C19" s="296" t="s">
        <v>874</v>
      </c>
      <c r="D19" s="252">
        <v>116</v>
      </c>
      <c r="E19" s="296" t="s">
        <v>869</v>
      </c>
      <c r="F19" s="407">
        <v>116</v>
      </c>
    </row>
    <row r="20" spans="1:6">
      <c r="A20" s="252"/>
      <c r="B20" s="252" t="s">
        <v>449</v>
      </c>
      <c r="C20" s="296" t="s">
        <v>450</v>
      </c>
      <c r="D20" s="252" t="s">
        <v>975</v>
      </c>
      <c r="E20" s="296" t="s">
        <v>449</v>
      </c>
      <c r="F20" s="407">
        <v>0</v>
      </c>
    </row>
    <row r="21" spans="1:6">
      <c r="A21" s="252"/>
      <c r="B21" s="252"/>
      <c r="C21" s="296"/>
      <c r="D21" s="252"/>
      <c r="E21" s="296"/>
      <c r="F21" s="407" t="s">
        <v>1586</v>
      </c>
    </row>
    <row r="22" spans="1:6">
      <c r="A22" s="252"/>
      <c r="B22" s="252"/>
      <c r="C22" s="252" t="s">
        <v>1516</v>
      </c>
      <c r="D22" s="252"/>
      <c r="E22" s="296"/>
      <c r="F22" s="1080">
        <v>4031.98</v>
      </c>
    </row>
    <row r="23" spans="1:6">
      <c r="A23" s="252"/>
      <c r="B23" s="252"/>
      <c r="C23" s="296"/>
      <c r="D23" s="252"/>
      <c r="E23" s="296"/>
      <c r="F23" s="1045" t="s">
        <v>1586</v>
      </c>
    </row>
    <row r="24" spans="1:6">
      <c r="A24" s="252"/>
      <c r="B24" s="252" t="s">
        <v>2251</v>
      </c>
      <c r="C24" s="252" t="s">
        <v>1625</v>
      </c>
      <c r="D24" s="252"/>
      <c r="E24" s="296"/>
      <c r="F24" s="407"/>
    </row>
    <row r="25" spans="1:6">
      <c r="A25" s="252"/>
      <c r="B25" s="252"/>
      <c r="C25" s="296" t="s">
        <v>1586</v>
      </c>
      <c r="D25" s="252"/>
      <c r="E25" s="296"/>
      <c r="F25" s="407"/>
    </row>
    <row r="26" spans="1:6">
      <c r="A26" s="252">
        <v>0.28799999999999998</v>
      </c>
      <c r="B26" s="252" t="s">
        <v>861</v>
      </c>
      <c r="C26" s="358" t="s">
        <v>862</v>
      </c>
      <c r="D26" s="252">
        <v>6040</v>
      </c>
      <c r="E26" s="296" t="s">
        <v>861</v>
      </c>
      <c r="F26" s="407">
        <v>1739.52</v>
      </c>
    </row>
    <row r="27" spans="1:6">
      <c r="A27" s="252">
        <v>1</v>
      </c>
      <c r="B27" s="252" t="s">
        <v>869</v>
      </c>
      <c r="C27" s="296" t="s">
        <v>870</v>
      </c>
      <c r="D27" s="252">
        <v>1741.58</v>
      </c>
      <c r="E27" s="296" t="s">
        <v>869</v>
      </c>
      <c r="F27" s="407">
        <v>1741.58</v>
      </c>
    </row>
    <row r="28" spans="1:6">
      <c r="A28" s="252">
        <v>1</v>
      </c>
      <c r="B28" s="252" t="s">
        <v>869</v>
      </c>
      <c r="C28" s="296" t="s">
        <v>874</v>
      </c>
      <c r="D28" s="252">
        <v>116</v>
      </c>
      <c r="E28" s="296" t="s">
        <v>869</v>
      </c>
      <c r="F28" s="407">
        <v>116</v>
      </c>
    </row>
    <row r="29" spans="1:6">
      <c r="A29" s="252"/>
      <c r="B29" s="252" t="s">
        <v>449</v>
      </c>
      <c r="C29" s="296" t="s">
        <v>450</v>
      </c>
      <c r="D29" s="252" t="s">
        <v>975</v>
      </c>
      <c r="E29" s="296" t="s">
        <v>449</v>
      </c>
      <c r="F29" s="407">
        <v>0</v>
      </c>
    </row>
    <row r="30" spans="1:6">
      <c r="A30" s="252"/>
      <c r="B30" s="252"/>
      <c r="C30" s="296"/>
      <c r="D30" s="252"/>
      <c r="E30" s="296"/>
      <c r="F30" s="407" t="s">
        <v>1586</v>
      </c>
    </row>
    <row r="31" spans="1:6">
      <c r="A31" s="252"/>
      <c r="B31" s="252"/>
      <c r="C31" s="252" t="s">
        <v>1516</v>
      </c>
      <c r="D31" s="252"/>
      <c r="E31" s="296"/>
      <c r="F31" s="1080">
        <v>3597.1</v>
      </c>
    </row>
    <row r="32" spans="1:6">
      <c r="A32" s="252"/>
      <c r="B32" s="252"/>
      <c r="C32" s="296"/>
      <c r="D32" s="252"/>
      <c r="E32" s="296"/>
      <c r="F32" s="1045" t="s">
        <v>1586</v>
      </c>
    </row>
    <row r="33" spans="1:6">
      <c r="A33" s="252"/>
      <c r="B33" s="252" t="s">
        <v>2251</v>
      </c>
      <c r="C33" s="252" t="s">
        <v>1631</v>
      </c>
      <c r="D33" s="252"/>
      <c r="E33" s="296"/>
      <c r="F33" s="407"/>
    </row>
    <row r="34" spans="1:6">
      <c r="A34" s="252"/>
      <c r="B34" s="252"/>
      <c r="C34" s="296" t="s">
        <v>1586</v>
      </c>
      <c r="D34" s="252"/>
      <c r="E34" s="296"/>
      <c r="F34" s="407"/>
    </row>
    <row r="35" spans="1:6">
      <c r="A35" s="252">
        <v>0.24</v>
      </c>
      <c r="B35" s="252" t="s">
        <v>861</v>
      </c>
      <c r="C35" s="296" t="s">
        <v>862</v>
      </c>
      <c r="D35" s="252">
        <v>6040</v>
      </c>
      <c r="E35" s="296" t="s">
        <v>861</v>
      </c>
      <c r="F35" s="407">
        <v>1449.6</v>
      </c>
    </row>
    <row r="36" spans="1:6">
      <c r="A36" s="252">
        <v>1</v>
      </c>
      <c r="B36" s="252" t="s">
        <v>869</v>
      </c>
      <c r="C36" s="296" t="s">
        <v>870</v>
      </c>
      <c r="D36" s="252">
        <v>1741.58</v>
      </c>
      <c r="E36" s="296" t="s">
        <v>869</v>
      </c>
      <c r="F36" s="407">
        <v>1741.58</v>
      </c>
    </row>
    <row r="37" spans="1:6">
      <c r="A37" s="252">
        <v>1</v>
      </c>
      <c r="B37" s="252" t="s">
        <v>869</v>
      </c>
      <c r="C37" s="296" t="s">
        <v>874</v>
      </c>
      <c r="D37" s="252">
        <v>116</v>
      </c>
      <c r="E37" s="296" t="s">
        <v>869</v>
      </c>
      <c r="F37" s="407">
        <v>116</v>
      </c>
    </row>
    <row r="38" spans="1:6">
      <c r="A38" s="252"/>
      <c r="B38" s="252" t="s">
        <v>449</v>
      </c>
      <c r="C38" s="296" t="s">
        <v>450</v>
      </c>
      <c r="D38" s="252" t="s">
        <v>975</v>
      </c>
      <c r="E38" s="296" t="s">
        <v>449</v>
      </c>
      <c r="F38" s="407">
        <v>0</v>
      </c>
    </row>
    <row r="39" spans="1:6">
      <c r="A39" s="252"/>
      <c r="B39" s="252"/>
      <c r="C39" s="252"/>
      <c r="D39" s="252"/>
      <c r="E39" s="296"/>
      <c r="F39" s="407" t="s">
        <v>1586</v>
      </c>
    </row>
    <row r="40" spans="1:6">
      <c r="A40" s="252"/>
      <c r="B40" s="252"/>
      <c r="C40" s="296" t="s">
        <v>1516</v>
      </c>
      <c r="D40" s="252"/>
      <c r="E40" s="296"/>
      <c r="F40" s="1079">
        <v>3307.18</v>
      </c>
    </row>
    <row r="41" spans="1:6">
      <c r="A41" s="252" t="s">
        <v>975</v>
      </c>
      <c r="B41" s="252"/>
      <c r="C41" s="252"/>
      <c r="D41" s="252"/>
      <c r="E41" s="296"/>
      <c r="F41" s="407"/>
    </row>
    <row r="42" spans="1:6">
      <c r="A42" s="252"/>
      <c r="B42" s="252"/>
      <c r="C42" s="296"/>
      <c r="D42" s="252"/>
      <c r="E42" s="296"/>
      <c r="F42" s="407" t="s">
        <v>1586</v>
      </c>
    </row>
    <row r="43" spans="1:6">
      <c r="A43" s="252"/>
      <c r="B43" s="252" t="s">
        <v>2251</v>
      </c>
      <c r="C43" s="358" t="s">
        <v>2079</v>
      </c>
      <c r="D43" s="252"/>
      <c r="E43" s="296"/>
      <c r="F43" s="407"/>
    </row>
    <row r="44" spans="1:6">
      <c r="A44" s="356"/>
      <c r="B44" s="252"/>
      <c r="C44" s="296" t="s">
        <v>1586</v>
      </c>
      <c r="D44" s="252"/>
      <c r="E44" s="296"/>
      <c r="F44" s="407"/>
    </row>
    <row r="45" spans="1:6">
      <c r="A45" s="252">
        <v>0.20599999999999999</v>
      </c>
      <c r="B45" s="252" t="s">
        <v>861</v>
      </c>
      <c r="C45" s="296" t="s">
        <v>862</v>
      </c>
      <c r="D45" s="252">
        <v>6040</v>
      </c>
      <c r="E45" s="296" t="s">
        <v>861</v>
      </c>
      <c r="F45" s="407">
        <v>1244.24</v>
      </c>
    </row>
    <row r="46" spans="1:6">
      <c r="A46" s="252">
        <v>1</v>
      </c>
      <c r="B46" s="252" t="s">
        <v>869</v>
      </c>
      <c r="C46" s="296" t="s">
        <v>870</v>
      </c>
      <c r="D46" s="252">
        <v>1741.58</v>
      </c>
      <c r="E46" s="296" t="s">
        <v>869</v>
      </c>
      <c r="F46" s="407">
        <v>1741.58</v>
      </c>
    </row>
    <row r="47" spans="1:6">
      <c r="A47" s="252">
        <v>1</v>
      </c>
      <c r="B47" s="252" t="s">
        <v>869</v>
      </c>
      <c r="C47" s="296" t="s">
        <v>874</v>
      </c>
      <c r="D47" s="252">
        <v>116</v>
      </c>
      <c r="E47" s="296" t="s">
        <v>869</v>
      </c>
      <c r="F47" s="407">
        <v>116</v>
      </c>
    </row>
    <row r="48" spans="1:6">
      <c r="A48" s="252"/>
      <c r="B48" s="252" t="s">
        <v>449</v>
      </c>
      <c r="C48" s="252" t="s">
        <v>450</v>
      </c>
      <c r="D48" s="252" t="s">
        <v>975</v>
      </c>
      <c r="E48" s="296" t="s">
        <v>449</v>
      </c>
      <c r="F48" s="407">
        <v>0</v>
      </c>
    </row>
    <row r="49" spans="1:6">
      <c r="A49" s="252"/>
      <c r="B49" s="252"/>
      <c r="C49" s="296"/>
      <c r="D49" s="252"/>
      <c r="E49" s="296"/>
      <c r="F49" s="1045" t="s">
        <v>1586</v>
      </c>
    </row>
    <row r="50" spans="1:6">
      <c r="A50" s="252"/>
      <c r="B50" s="252"/>
      <c r="C50" s="252" t="s">
        <v>1516</v>
      </c>
      <c r="D50" s="252"/>
      <c r="E50" s="296"/>
      <c r="F50" s="1080">
        <v>3101.82</v>
      </c>
    </row>
    <row r="51" spans="1:6">
      <c r="A51" s="252"/>
      <c r="B51" s="252"/>
      <c r="C51" s="252"/>
      <c r="D51" s="252"/>
      <c r="E51" s="296"/>
      <c r="F51" s="407"/>
    </row>
    <row r="52" spans="1:6">
      <c r="A52" s="375">
        <v>32.1</v>
      </c>
      <c r="B52" s="252" t="s">
        <v>2251</v>
      </c>
      <c r="C52" s="296" t="s">
        <v>755</v>
      </c>
      <c r="D52" s="252"/>
      <c r="E52" s="296"/>
      <c r="F52" s="407"/>
    </row>
    <row r="53" spans="1:6">
      <c r="A53" s="252"/>
      <c r="B53" s="252"/>
      <c r="C53" s="296" t="s">
        <v>1483</v>
      </c>
      <c r="D53" s="252"/>
      <c r="E53" s="296"/>
      <c r="F53" s="407"/>
    </row>
    <row r="54" spans="1:6">
      <c r="A54" s="252"/>
      <c r="B54" s="252"/>
      <c r="C54" s="296" t="s">
        <v>683</v>
      </c>
      <c r="D54" s="252"/>
      <c r="E54" s="296"/>
      <c r="F54" s="407"/>
    </row>
    <row r="55" spans="1:6">
      <c r="A55" s="252"/>
      <c r="B55" s="252"/>
      <c r="C55" s="296" t="s">
        <v>1967</v>
      </c>
      <c r="D55" s="252"/>
      <c r="E55" s="296"/>
      <c r="F55" s="407"/>
    </row>
    <row r="56" spans="1:6">
      <c r="A56" s="252"/>
      <c r="B56" s="252"/>
      <c r="C56" s="296" t="s">
        <v>1293</v>
      </c>
      <c r="D56" s="252"/>
      <c r="E56" s="296"/>
      <c r="F56" s="407"/>
    </row>
    <row r="57" spans="1:6">
      <c r="A57" s="252"/>
      <c r="B57" s="252"/>
      <c r="C57" s="358" t="s">
        <v>1586</v>
      </c>
      <c r="D57" s="252"/>
      <c r="E57" s="296"/>
      <c r="F57" s="407"/>
    </row>
    <row r="58" spans="1:6">
      <c r="A58" s="252">
        <v>190</v>
      </c>
      <c r="B58" s="252" t="s">
        <v>1873</v>
      </c>
      <c r="C58" s="296" t="s">
        <v>3882</v>
      </c>
      <c r="D58" s="252">
        <v>16106</v>
      </c>
      <c r="E58" s="296" t="s">
        <v>1481</v>
      </c>
      <c r="F58" s="407">
        <v>3060.14</v>
      </c>
    </row>
    <row r="59" spans="1:6">
      <c r="A59" s="252">
        <v>0.12</v>
      </c>
      <c r="B59" s="252" t="s">
        <v>869</v>
      </c>
      <c r="C59" s="296" t="s">
        <v>1876</v>
      </c>
      <c r="D59" s="252">
        <v>4756.78</v>
      </c>
      <c r="E59" s="296" t="s">
        <v>869</v>
      </c>
      <c r="F59" s="407">
        <v>570.80999999999995</v>
      </c>
    </row>
    <row r="60" spans="1:6">
      <c r="A60" s="252">
        <v>10</v>
      </c>
      <c r="B60" s="252" t="s">
        <v>609</v>
      </c>
      <c r="C60" s="296" t="s">
        <v>1295</v>
      </c>
      <c r="D60" s="252">
        <v>315.36</v>
      </c>
      <c r="E60" s="296" t="s">
        <v>609</v>
      </c>
      <c r="F60" s="407">
        <v>3153.6</v>
      </c>
    </row>
    <row r="61" spans="1:6">
      <c r="A61" s="356">
        <v>1.54</v>
      </c>
      <c r="B61" s="252" t="s">
        <v>1645</v>
      </c>
      <c r="C61" s="296" t="s">
        <v>964</v>
      </c>
      <c r="D61" s="252">
        <v>42.7</v>
      </c>
      <c r="E61" s="296" t="s">
        <v>1645</v>
      </c>
      <c r="F61" s="407">
        <v>65.760000000000005</v>
      </c>
    </row>
    <row r="62" spans="1:6">
      <c r="A62" s="252">
        <v>1.1000000000000001</v>
      </c>
      <c r="B62" s="252" t="s">
        <v>769</v>
      </c>
      <c r="C62" s="296" t="s">
        <v>2009</v>
      </c>
      <c r="D62" s="252">
        <v>999</v>
      </c>
      <c r="E62" s="296" t="s">
        <v>769</v>
      </c>
      <c r="F62" s="407">
        <v>1098.9000000000001</v>
      </c>
    </row>
    <row r="63" spans="1:6">
      <c r="A63" s="252">
        <v>2.1</v>
      </c>
      <c r="B63" s="252" t="s">
        <v>769</v>
      </c>
      <c r="C63" s="296" t="s">
        <v>1712</v>
      </c>
      <c r="D63" s="252">
        <v>932</v>
      </c>
      <c r="E63" s="296" t="s">
        <v>769</v>
      </c>
      <c r="F63" s="407">
        <v>1957.2</v>
      </c>
    </row>
    <row r="64" spans="1:6">
      <c r="A64" s="252">
        <v>2.2000000000000002</v>
      </c>
      <c r="B64" s="252" t="s">
        <v>769</v>
      </c>
      <c r="C64" s="296" t="s">
        <v>1902</v>
      </c>
      <c r="D64" s="252">
        <v>651</v>
      </c>
      <c r="E64" s="296" t="s">
        <v>769</v>
      </c>
      <c r="F64" s="407">
        <v>1432.2</v>
      </c>
    </row>
    <row r="65" spans="1:6">
      <c r="A65" s="252">
        <v>1.1000000000000001</v>
      </c>
      <c r="B65" s="252" t="s">
        <v>769</v>
      </c>
      <c r="C65" s="296" t="s">
        <v>320</v>
      </c>
      <c r="D65" s="252">
        <v>534</v>
      </c>
      <c r="E65" s="296" t="s">
        <v>769</v>
      </c>
      <c r="F65" s="407">
        <v>587.4</v>
      </c>
    </row>
    <row r="66" spans="1:6">
      <c r="A66" s="252"/>
      <c r="B66" s="252" t="s">
        <v>449</v>
      </c>
      <c r="C66" s="296" t="s">
        <v>450</v>
      </c>
      <c r="D66" s="252"/>
      <c r="E66" s="296" t="s">
        <v>449</v>
      </c>
      <c r="F66" s="407">
        <v>0</v>
      </c>
    </row>
    <row r="67" spans="1:6">
      <c r="A67" s="252"/>
      <c r="B67" s="252"/>
      <c r="C67" s="252"/>
      <c r="D67" s="252"/>
      <c r="E67" s="296"/>
      <c r="F67" s="407" t="s">
        <v>1586</v>
      </c>
    </row>
    <row r="68" spans="1:6">
      <c r="A68" s="252"/>
      <c r="B68" s="252"/>
      <c r="C68" s="296" t="s">
        <v>441</v>
      </c>
      <c r="D68" s="252"/>
      <c r="E68" s="296"/>
      <c r="F68" s="407">
        <v>11926.01</v>
      </c>
    </row>
    <row r="69" spans="1:6">
      <c r="A69" s="252"/>
      <c r="B69" s="252"/>
      <c r="C69" s="252"/>
      <c r="D69" s="252"/>
      <c r="E69" s="296"/>
      <c r="F69" s="407" t="s">
        <v>1586</v>
      </c>
    </row>
    <row r="70" spans="1:6">
      <c r="A70" s="252"/>
      <c r="B70" s="252"/>
      <c r="C70" s="1043" t="s">
        <v>552</v>
      </c>
      <c r="D70" s="252"/>
      <c r="E70" s="296"/>
      <c r="F70" s="1079">
        <v>1192.5999999999999</v>
      </c>
    </row>
    <row r="71" spans="1:6">
      <c r="A71" s="252"/>
      <c r="B71" s="252"/>
      <c r="C71" s="252"/>
      <c r="D71" s="252"/>
      <c r="E71" s="296"/>
      <c r="F71" s="407" t="s">
        <v>2055</v>
      </c>
    </row>
    <row r="72" spans="1:6">
      <c r="A72" s="252"/>
      <c r="B72" s="252"/>
      <c r="C72" s="252"/>
      <c r="D72" s="252"/>
      <c r="E72" s="296"/>
      <c r="F72" s="407"/>
    </row>
    <row r="73" spans="1:6">
      <c r="A73" s="252">
        <v>1.1000000000000001</v>
      </c>
      <c r="B73" s="252" t="s">
        <v>975</v>
      </c>
      <c r="C73" s="252" t="s">
        <v>1424</v>
      </c>
      <c r="D73" s="252"/>
      <c r="E73" s="296"/>
      <c r="F73" s="407"/>
    </row>
    <row r="74" spans="1:6">
      <c r="A74" s="252" t="s">
        <v>975</v>
      </c>
      <c r="B74" s="252"/>
      <c r="C74" s="252" t="s">
        <v>1482</v>
      </c>
      <c r="D74" s="252"/>
      <c r="E74" s="296"/>
      <c r="F74" s="407"/>
    </row>
    <row r="75" spans="1:6">
      <c r="A75" s="252">
        <v>10</v>
      </c>
      <c r="B75" s="252" t="s">
        <v>869</v>
      </c>
      <c r="C75" s="252" t="s">
        <v>1177</v>
      </c>
      <c r="D75" s="252">
        <v>112.05</v>
      </c>
      <c r="E75" s="296" t="s">
        <v>869</v>
      </c>
      <c r="F75" s="407">
        <v>1120.5</v>
      </c>
    </row>
    <row r="76" spans="1:6">
      <c r="A76" s="252">
        <v>10</v>
      </c>
      <c r="B76" s="252" t="s">
        <v>869</v>
      </c>
      <c r="C76" s="252" t="s">
        <v>2011</v>
      </c>
      <c r="D76" s="252">
        <v>112.05</v>
      </c>
      <c r="E76" s="296" t="s">
        <v>869</v>
      </c>
      <c r="F76" s="407">
        <v>1120.5</v>
      </c>
    </row>
    <row r="77" spans="1:6">
      <c r="A77" s="252">
        <v>10</v>
      </c>
      <c r="B77" s="252" t="s">
        <v>869</v>
      </c>
      <c r="C77" s="252" t="s">
        <v>2013</v>
      </c>
      <c r="D77" s="252">
        <v>12.98</v>
      </c>
      <c r="E77" s="296" t="s">
        <v>869</v>
      </c>
      <c r="F77" s="407">
        <v>129.80000000000001</v>
      </c>
    </row>
    <row r="78" spans="1:6">
      <c r="A78" s="252"/>
      <c r="B78" s="252" t="s">
        <v>449</v>
      </c>
      <c r="C78" s="252" t="s">
        <v>450</v>
      </c>
      <c r="D78" s="252"/>
      <c r="E78" s="296" t="s">
        <v>449</v>
      </c>
      <c r="F78" s="407">
        <v>0</v>
      </c>
    </row>
    <row r="79" spans="1:6">
      <c r="A79" s="252"/>
      <c r="B79" s="252"/>
      <c r="C79" s="252"/>
      <c r="D79" s="252"/>
      <c r="E79" s="296"/>
      <c r="F79" s="407" t="s">
        <v>1586</v>
      </c>
    </row>
    <row r="80" spans="1:6">
      <c r="A80" s="252"/>
      <c r="B80" s="252"/>
      <c r="C80" s="252" t="s">
        <v>614</v>
      </c>
      <c r="D80" s="252"/>
      <c r="E80" s="296"/>
      <c r="F80" s="407">
        <v>2370.8000000000002</v>
      </c>
    </row>
    <row r="81" spans="1:6">
      <c r="A81" s="252"/>
      <c r="B81" s="252"/>
      <c r="C81" s="252"/>
      <c r="D81" s="252"/>
      <c r="E81" s="296"/>
      <c r="F81" s="407" t="s">
        <v>1586</v>
      </c>
    </row>
    <row r="82" spans="1:6">
      <c r="A82" s="252"/>
      <c r="B82" s="252"/>
      <c r="C82" s="252" t="s">
        <v>2049</v>
      </c>
      <c r="D82" s="252" t="s">
        <v>1399</v>
      </c>
      <c r="E82" s="296"/>
      <c r="F82" s="1080">
        <v>237.08</v>
      </c>
    </row>
    <row r="83" spans="1:6">
      <c r="A83" s="252"/>
      <c r="B83" s="252"/>
      <c r="C83" s="252"/>
      <c r="D83" s="252" t="s">
        <v>1362</v>
      </c>
      <c r="E83" s="296"/>
      <c r="F83" s="407">
        <v>247.63</v>
      </c>
    </row>
    <row r="84" spans="1:6">
      <c r="A84" s="252"/>
      <c r="B84" s="252"/>
      <c r="C84" s="252"/>
      <c r="D84" s="252"/>
      <c r="E84" s="296"/>
      <c r="F84" s="407"/>
    </row>
    <row r="85" spans="1:6">
      <c r="A85" s="252" t="s">
        <v>384</v>
      </c>
      <c r="B85" s="252" t="s">
        <v>2251</v>
      </c>
      <c r="C85" s="252" t="s">
        <v>385</v>
      </c>
      <c r="D85" s="252"/>
      <c r="E85" s="296"/>
      <c r="F85" s="407"/>
    </row>
    <row r="86" spans="1:6">
      <c r="A86" s="252"/>
      <c r="B86" s="252"/>
      <c r="C86" s="252" t="s">
        <v>6553</v>
      </c>
      <c r="D86" s="252"/>
      <c r="E86" s="296"/>
      <c r="F86" s="407"/>
    </row>
    <row r="87" spans="1:6">
      <c r="A87" s="252"/>
      <c r="B87" s="252"/>
      <c r="C87" s="252" t="s">
        <v>1586</v>
      </c>
      <c r="D87" s="252"/>
      <c r="E87" s="296"/>
      <c r="F87" s="407"/>
    </row>
    <row r="88" spans="1:6">
      <c r="A88" s="252">
        <v>1</v>
      </c>
      <c r="B88" s="252" t="s">
        <v>869</v>
      </c>
      <c r="C88" s="252" t="s">
        <v>379</v>
      </c>
      <c r="D88" s="252">
        <v>1741.58</v>
      </c>
      <c r="E88" s="296" t="s">
        <v>869</v>
      </c>
      <c r="F88" s="407">
        <v>1741.58</v>
      </c>
    </row>
    <row r="89" spans="1:6">
      <c r="A89" s="252">
        <v>1</v>
      </c>
      <c r="B89" s="252" t="s">
        <v>869</v>
      </c>
      <c r="C89" s="252" t="s">
        <v>1354</v>
      </c>
      <c r="D89" s="252">
        <v>34.200000000000003</v>
      </c>
      <c r="E89" s="296" t="s">
        <v>869</v>
      </c>
      <c r="F89" s="407">
        <v>34.200000000000003</v>
      </c>
    </row>
    <row r="90" spans="1:6">
      <c r="A90" s="252"/>
      <c r="B90" s="252" t="s">
        <v>449</v>
      </c>
      <c r="C90" s="252" t="s">
        <v>450</v>
      </c>
      <c r="D90" s="252" t="s">
        <v>975</v>
      </c>
      <c r="E90" s="296" t="s">
        <v>449</v>
      </c>
      <c r="F90" s="407">
        <v>0</v>
      </c>
    </row>
    <row r="91" spans="1:6">
      <c r="A91" s="252"/>
      <c r="B91" s="252"/>
      <c r="C91" s="252"/>
      <c r="D91" s="252"/>
      <c r="E91" s="296"/>
      <c r="F91" s="407" t="s">
        <v>1586</v>
      </c>
    </row>
    <row r="92" spans="1:6">
      <c r="A92" s="252"/>
      <c r="B92" s="252"/>
      <c r="C92" s="252" t="s">
        <v>193</v>
      </c>
      <c r="D92" s="252"/>
      <c r="E92" s="296"/>
      <c r="F92" s="1080">
        <v>1775.78</v>
      </c>
    </row>
    <row r="93" spans="1:6">
      <c r="A93" s="252"/>
      <c r="B93" s="252"/>
      <c r="C93" s="252"/>
      <c r="D93" s="252"/>
      <c r="E93" s="296"/>
      <c r="F93" s="407" t="s">
        <v>1586</v>
      </c>
    </row>
    <row r="94" spans="1:6">
      <c r="A94" s="252"/>
      <c r="B94" s="252"/>
      <c r="C94" s="252"/>
      <c r="D94" s="252"/>
      <c r="E94" s="296"/>
      <c r="F94" s="407"/>
    </row>
    <row r="95" spans="1:6">
      <c r="A95" s="252" t="s">
        <v>666</v>
      </c>
      <c r="B95" s="252" t="s">
        <v>2251</v>
      </c>
      <c r="C95" s="252" t="s">
        <v>667</v>
      </c>
      <c r="D95" s="252"/>
      <c r="E95" s="296"/>
      <c r="F95" s="407"/>
    </row>
    <row r="96" spans="1:6">
      <c r="A96" s="252"/>
      <c r="B96" s="252"/>
      <c r="C96" s="252" t="s">
        <v>669</v>
      </c>
      <c r="D96" s="252"/>
      <c r="E96" s="296"/>
      <c r="F96" s="407"/>
    </row>
    <row r="97" spans="1:6">
      <c r="A97" s="252"/>
      <c r="B97" s="252"/>
      <c r="C97" s="252" t="s">
        <v>1586</v>
      </c>
      <c r="D97" s="252"/>
      <c r="E97" s="296"/>
      <c r="F97" s="407"/>
    </row>
    <row r="98" spans="1:6">
      <c r="A98" s="252">
        <v>9</v>
      </c>
      <c r="B98" s="252" t="s">
        <v>869</v>
      </c>
      <c r="C98" s="252" t="s">
        <v>1638</v>
      </c>
      <c r="D98" s="252">
        <v>1388.74</v>
      </c>
      <c r="E98" s="296" t="s">
        <v>869</v>
      </c>
      <c r="F98" s="407">
        <v>12498.66</v>
      </c>
    </row>
    <row r="99" spans="1:6">
      <c r="A99" s="252">
        <v>4.5</v>
      </c>
      <c r="B99" s="252" t="s">
        <v>869</v>
      </c>
      <c r="C99" s="252" t="s">
        <v>1625</v>
      </c>
      <c r="D99" s="252">
        <v>3597.1</v>
      </c>
      <c r="E99" s="296" t="s">
        <v>869</v>
      </c>
      <c r="F99" s="407">
        <v>16186.95</v>
      </c>
    </row>
    <row r="100" spans="1:6">
      <c r="A100" s="252">
        <v>1.8</v>
      </c>
      <c r="B100" s="252" t="s">
        <v>868</v>
      </c>
      <c r="C100" s="252" t="s">
        <v>1712</v>
      </c>
      <c r="D100" s="252">
        <v>932</v>
      </c>
      <c r="E100" s="296" t="s">
        <v>868</v>
      </c>
      <c r="F100" s="407">
        <v>1677.6</v>
      </c>
    </row>
    <row r="101" spans="1:6">
      <c r="A101" s="252">
        <v>17.7</v>
      </c>
      <c r="B101" s="252" t="s">
        <v>868</v>
      </c>
      <c r="C101" s="252" t="s">
        <v>1902</v>
      </c>
      <c r="D101" s="252">
        <v>651</v>
      </c>
      <c r="E101" s="296" t="s">
        <v>868</v>
      </c>
      <c r="F101" s="407">
        <v>11522.7</v>
      </c>
    </row>
    <row r="102" spans="1:6">
      <c r="A102" s="252">
        <v>14.1</v>
      </c>
      <c r="B102" s="252" t="s">
        <v>868</v>
      </c>
      <c r="C102" s="252" t="s">
        <v>320</v>
      </c>
      <c r="D102" s="252">
        <v>534</v>
      </c>
      <c r="E102" s="296" t="s">
        <v>868</v>
      </c>
      <c r="F102" s="407">
        <v>7529.4</v>
      </c>
    </row>
    <row r="103" spans="1:6">
      <c r="A103" s="252"/>
      <c r="B103" s="252" t="s">
        <v>449</v>
      </c>
      <c r="C103" s="252" t="s">
        <v>450</v>
      </c>
      <c r="D103" s="252"/>
      <c r="E103" s="296" t="s">
        <v>449</v>
      </c>
      <c r="F103" s="407">
        <v>0</v>
      </c>
    </row>
    <row r="104" spans="1:6">
      <c r="A104" s="252"/>
      <c r="B104" s="252"/>
      <c r="C104" s="252"/>
      <c r="D104" s="252"/>
      <c r="E104" s="296"/>
      <c r="F104" s="407" t="s">
        <v>1586</v>
      </c>
    </row>
    <row r="105" spans="1:6">
      <c r="A105" s="252"/>
      <c r="B105" s="252"/>
      <c r="C105" s="252"/>
      <c r="D105" s="252"/>
      <c r="E105" s="296"/>
      <c r="F105" s="407">
        <v>49415.31</v>
      </c>
    </row>
    <row r="106" spans="1:6">
      <c r="A106" s="252"/>
      <c r="B106" s="252"/>
      <c r="C106" s="252" t="s">
        <v>614</v>
      </c>
      <c r="D106" s="252"/>
      <c r="E106" s="296"/>
      <c r="F106" s="407" t="s">
        <v>1586</v>
      </c>
    </row>
    <row r="107" spans="1:6">
      <c r="A107" s="252"/>
      <c r="B107" s="252"/>
      <c r="C107" s="252"/>
      <c r="D107" s="252"/>
      <c r="E107" s="296"/>
      <c r="F107" s="1080">
        <v>4941.53</v>
      </c>
    </row>
    <row r="108" spans="1:6">
      <c r="A108" s="252"/>
      <c r="B108" s="252"/>
      <c r="D108" s="252"/>
      <c r="E108" s="296"/>
      <c r="F108" s="407" t="s">
        <v>2055</v>
      </c>
    </row>
    <row r="109" spans="1:6">
      <c r="A109" s="252">
        <v>6.5</v>
      </c>
      <c r="B109" s="252" t="s">
        <v>2251</v>
      </c>
      <c r="C109" s="252" t="s">
        <v>2812</v>
      </c>
      <c r="D109" s="252"/>
      <c r="E109" s="296"/>
      <c r="F109" s="407"/>
    </row>
    <row r="110" spans="1:6">
      <c r="A110" s="252"/>
      <c r="B110" s="252"/>
      <c r="C110" s="252" t="s">
        <v>2905</v>
      </c>
      <c r="D110" s="252"/>
      <c r="E110" s="296"/>
      <c r="F110" s="407"/>
    </row>
    <row r="111" spans="1:6">
      <c r="A111" s="252"/>
      <c r="B111" s="252"/>
      <c r="C111" s="252" t="s">
        <v>1586</v>
      </c>
      <c r="D111" s="252"/>
      <c r="E111" s="296"/>
      <c r="F111" s="407"/>
    </row>
    <row r="112" spans="1:6">
      <c r="A112" s="252">
        <v>4800</v>
      </c>
      <c r="B112" s="252" t="s">
        <v>1425</v>
      </c>
      <c r="C112" s="252" t="s">
        <v>2905</v>
      </c>
      <c r="D112" s="252">
        <v>5728.64</v>
      </c>
      <c r="E112" s="296" t="s">
        <v>1594</v>
      </c>
      <c r="F112" s="407">
        <v>27497.47</v>
      </c>
    </row>
    <row r="113" spans="1:6">
      <c r="A113" s="252">
        <v>2.5</v>
      </c>
      <c r="B113" s="252" t="s">
        <v>869</v>
      </c>
      <c r="C113" s="252" t="s">
        <v>1625</v>
      </c>
      <c r="D113" s="252">
        <v>3597.1</v>
      </c>
      <c r="E113" s="296" t="s">
        <v>869</v>
      </c>
      <c r="F113" s="407">
        <v>8992.75</v>
      </c>
    </row>
    <row r="114" spans="1:6">
      <c r="A114" s="252">
        <v>3.5</v>
      </c>
      <c r="B114" s="252" t="s">
        <v>868</v>
      </c>
      <c r="C114" s="252" t="s">
        <v>2009</v>
      </c>
      <c r="D114" s="252">
        <v>999</v>
      </c>
      <c r="E114" s="296" t="s">
        <v>868</v>
      </c>
      <c r="F114" s="407">
        <v>3496.5</v>
      </c>
    </row>
    <row r="115" spans="1:6">
      <c r="A115" s="252">
        <v>10.6</v>
      </c>
      <c r="B115" s="252" t="s">
        <v>868</v>
      </c>
      <c r="C115" s="252" t="s">
        <v>1712</v>
      </c>
      <c r="D115" s="252">
        <v>932</v>
      </c>
      <c r="E115" s="296" t="s">
        <v>868</v>
      </c>
      <c r="F115" s="407">
        <v>9879.2000000000007</v>
      </c>
    </row>
    <row r="116" spans="1:6">
      <c r="A116" s="252">
        <v>7.1</v>
      </c>
      <c r="B116" s="252" t="s">
        <v>868</v>
      </c>
      <c r="C116" s="252" t="s">
        <v>1902</v>
      </c>
      <c r="D116" s="252">
        <v>651</v>
      </c>
      <c r="E116" s="296" t="s">
        <v>868</v>
      </c>
      <c r="F116" s="407">
        <v>4622.1000000000004</v>
      </c>
    </row>
    <row r="117" spans="1:6">
      <c r="A117" s="252">
        <v>21.2</v>
      </c>
      <c r="B117" s="252" t="s">
        <v>868</v>
      </c>
      <c r="C117" s="252" t="s">
        <v>320</v>
      </c>
      <c r="D117" s="252">
        <v>534</v>
      </c>
      <c r="E117" s="296" t="s">
        <v>868</v>
      </c>
      <c r="F117" s="407">
        <v>11320.8</v>
      </c>
    </row>
    <row r="118" spans="1:6">
      <c r="A118" s="252"/>
      <c r="B118" s="252" t="s">
        <v>449</v>
      </c>
      <c r="C118" s="252" t="s">
        <v>450</v>
      </c>
      <c r="D118" s="252"/>
      <c r="E118" s="296" t="s">
        <v>449</v>
      </c>
      <c r="F118" s="407">
        <v>5</v>
      </c>
    </row>
    <row r="119" spans="1:6">
      <c r="A119" s="252"/>
      <c r="B119" s="252"/>
      <c r="C119" s="252"/>
      <c r="D119" s="252"/>
      <c r="E119" s="296"/>
      <c r="F119" s="407" t="s">
        <v>1586</v>
      </c>
    </row>
    <row r="120" spans="1:6">
      <c r="A120" s="252"/>
      <c r="B120" s="252"/>
      <c r="C120" s="252" t="s">
        <v>614</v>
      </c>
      <c r="D120" s="252"/>
      <c r="E120" s="296"/>
      <c r="F120" s="407">
        <v>65813.820000000007</v>
      </c>
    </row>
    <row r="121" spans="1:6">
      <c r="A121" s="252"/>
      <c r="B121" s="252"/>
      <c r="C121" s="252"/>
      <c r="D121" s="252"/>
      <c r="E121" s="296"/>
      <c r="F121" s="407" t="s">
        <v>1586</v>
      </c>
    </row>
    <row r="122" spans="1:6">
      <c r="A122" s="252"/>
      <c r="B122" s="252"/>
      <c r="C122" s="252" t="s">
        <v>773</v>
      </c>
      <c r="D122" s="252"/>
      <c r="E122" s="296"/>
      <c r="F122" s="1080">
        <v>6581.38</v>
      </c>
    </row>
    <row r="123" spans="1:6">
      <c r="A123" s="252"/>
      <c r="B123" s="252"/>
      <c r="C123" s="252"/>
      <c r="D123" s="252"/>
      <c r="E123" s="296"/>
      <c r="F123" s="407" t="s">
        <v>2055</v>
      </c>
    </row>
    <row r="124" spans="1:6">
      <c r="A124" s="252">
        <v>9</v>
      </c>
      <c r="B124" s="252" t="s">
        <v>2251</v>
      </c>
      <c r="C124" s="252" t="s">
        <v>2813</v>
      </c>
      <c r="D124" s="252"/>
      <c r="E124" s="296"/>
      <c r="F124" s="407"/>
    </row>
    <row r="125" spans="1:6">
      <c r="A125" s="252"/>
      <c r="B125" s="252"/>
      <c r="C125" s="252" t="s">
        <v>2905</v>
      </c>
      <c r="D125" s="252"/>
      <c r="E125" s="296"/>
      <c r="F125" s="407"/>
    </row>
    <row r="126" spans="1:6">
      <c r="A126" s="252"/>
      <c r="B126" s="252"/>
      <c r="C126" s="252" t="s">
        <v>1586</v>
      </c>
      <c r="D126" s="252"/>
      <c r="E126" s="296"/>
      <c r="F126" s="407"/>
    </row>
    <row r="127" spans="1:6">
      <c r="A127" s="252">
        <v>4800</v>
      </c>
      <c r="B127" s="252" t="s">
        <v>1425</v>
      </c>
      <c r="C127" s="252" t="s">
        <v>2905</v>
      </c>
      <c r="D127" s="252">
        <v>5728.64</v>
      </c>
      <c r="E127" s="296" t="s">
        <v>1594</v>
      </c>
      <c r="F127" s="407">
        <v>27497.47</v>
      </c>
    </row>
    <row r="128" spans="1:6">
      <c r="A128" s="252">
        <v>2.5</v>
      </c>
      <c r="B128" s="252" t="s">
        <v>869</v>
      </c>
      <c r="C128" s="252" t="s">
        <v>1631</v>
      </c>
      <c r="D128" s="252">
        <v>3307.18</v>
      </c>
      <c r="E128" s="296" t="s">
        <v>869</v>
      </c>
      <c r="F128" s="407">
        <v>8267.9500000000007</v>
      </c>
    </row>
    <row r="129" spans="1:6">
      <c r="A129" s="252">
        <v>3.5</v>
      </c>
      <c r="B129" s="252" t="s">
        <v>868</v>
      </c>
      <c r="C129" s="252" t="s">
        <v>2009</v>
      </c>
      <c r="D129" s="252">
        <v>999</v>
      </c>
      <c r="E129" s="296" t="s">
        <v>868</v>
      </c>
      <c r="F129" s="407">
        <v>3496.5</v>
      </c>
    </row>
    <row r="130" spans="1:6">
      <c r="A130" s="252">
        <v>10.6</v>
      </c>
      <c r="B130" s="252" t="s">
        <v>868</v>
      </c>
      <c r="C130" s="252" t="s">
        <v>1712</v>
      </c>
      <c r="D130" s="252">
        <v>932</v>
      </c>
      <c r="E130" s="296" t="s">
        <v>868</v>
      </c>
      <c r="F130" s="407">
        <v>9879.2000000000007</v>
      </c>
    </row>
    <row r="131" spans="1:6">
      <c r="A131" s="252">
        <v>7.1</v>
      </c>
      <c r="B131" s="252" t="s">
        <v>868</v>
      </c>
      <c r="C131" s="252" t="s">
        <v>1902</v>
      </c>
      <c r="D131" s="252">
        <v>651</v>
      </c>
      <c r="E131" s="296" t="s">
        <v>868</v>
      </c>
      <c r="F131" s="407">
        <v>4622.1000000000004</v>
      </c>
    </row>
    <row r="132" spans="1:6">
      <c r="A132" s="252">
        <v>21.2</v>
      </c>
      <c r="B132" s="252" t="s">
        <v>868</v>
      </c>
      <c r="C132" s="252" t="s">
        <v>320</v>
      </c>
      <c r="D132" s="252">
        <v>534</v>
      </c>
      <c r="E132" s="296" t="s">
        <v>868</v>
      </c>
      <c r="F132" s="407">
        <v>11320.8</v>
      </c>
    </row>
    <row r="133" spans="1:6">
      <c r="A133" s="252"/>
      <c r="B133" s="252" t="s">
        <v>449</v>
      </c>
      <c r="C133" s="252" t="s">
        <v>450</v>
      </c>
      <c r="D133" s="252"/>
      <c r="E133" s="296" t="s">
        <v>449</v>
      </c>
      <c r="F133" s="407">
        <v>0</v>
      </c>
    </row>
    <row r="134" spans="1:6">
      <c r="A134" s="252"/>
      <c r="B134" s="252"/>
      <c r="C134" s="252"/>
      <c r="D134" s="252"/>
      <c r="E134" s="296"/>
      <c r="F134" s="407" t="s">
        <v>1586</v>
      </c>
    </row>
    <row r="135" spans="1:6">
      <c r="A135" s="252"/>
      <c r="B135" s="252"/>
      <c r="C135" s="252" t="s">
        <v>614</v>
      </c>
      <c r="D135" s="252"/>
      <c r="E135" s="296"/>
      <c r="F135" s="407">
        <v>65084.02</v>
      </c>
    </row>
    <row r="136" spans="1:6">
      <c r="A136" s="252"/>
      <c r="B136" s="252"/>
      <c r="C136" s="252"/>
      <c r="D136" s="252"/>
      <c r="E136" s="296"/>
      <c r="F136" s="407" t="s">
        <v>1586</v>
      </c>
    </row>
    <row r="137" spans="1:6">
      <c r="A137" s="252"/>
      <c r="B137" s="252"/>
      <c r="C137" s="252" t="s">
        <v>773</v>
      </c>
      <c r="D137" s="252"/>
      <c r="E137" s="296"/>
      <c r="F137" s="407">
        <v>6508.4</v>
      </c>
    </row>
    <row r="138" spans="1:6">
      <c r="A138" s="252"/>
      <c r="B138" s="252"/>
      <c r="C138" s="252"/>
      <c r="D138" s="252"/>
      <c r="E138" s="296"/>
      <c r="F138" s="407" t="s">
        <v>2055</v>
      </c>
    </row>
    <row r="139" spans="1:6">
      <c r="A139" s="252"/>
      <c r="B139" s="252"/>
      <c r="C139" s="252" t="s">
        <v>386</v>
      </c>
      <c r="D139" s="252"/>
      <c r="E139" s="296"/>
      <c r="F139" s="1080">
        <v>6587.3</v>
      </c>
    </row>
    <row r="140" spans="1:6">
      <c r="A140" s="252"/>
      <c r="B140" s="252"/>
      <c r="C140" s="252" t="s">
        <v>388</v>
      </c>
      <c r="D140" s="252"/>
      <c r="E140" s="296"/>
      <c r="F140" s="407">
        <v>6746.5</v>
      </c>
    </row>
    <row r="141" spans="1:6">
      <c r="A141" s="252"/>
      <c r="B141" s="252"/>
      <c r="C141" s="252" t="s">
        <v>2232</v>
      </c>
      <c r="D141" s="252"/>
      <c r="E141" s="296"/>
      <c r="F141" s="407">
        <v>6905.7</v>
      </c>
    </row>
    <row r="142" spans="1:6">
      <c r="A142" s="252"/>
      <c r="B142" s="252"/>
      <c r="C142" s="252"/>
      <c r="D142" s="252"/>
      <c r="E142" s="296"/>
      <c r="F142" s="407"/>
    </row>
    <row r="143" spans="1:6">
      <c r="A143" s="252"/>
      <c r="B143" s="252" t="s">
        <v>675</v>
      </c>
      <c r="C143" s="252" t="s">
        <v>2908</v>
      </c>
      <c r="D143" s="252"/>
      <c r="E143" s="296"/>
      <c r="F143" s="407"/>
    </row>
    <row r="144" spans="1:6">
      <c r="A144" s="252"/>
      <c r="B144" s="252"/>
      <c r="C144" s="252" t="s">
        <v>1586</v>
      </c>
      <c r="D144" s="252"/>
      <c r="E144" s="296"/>
      <c r="F144" s="407"/>
    </row>
    <row r="145" spans="1:6">
      <c r="A145" s="252">
        <v>1.1000000000000001</v>
      </c>
      <c r="B145" s="252" t="s">
        <v>869</v>
      </c>
      <c r="C145" s="252" t="s">
        <v>1119</v>
      </c>
      <c r="D145" s="252">
        <v>6346.14</v>
      </c>
      <c r="E145" s="296" t="s">
        <v>869</v>
      </c>
      <c r="F145" s="407">
        <v>6980.75</v>
      </c>
    </row>
    <row r="146" spans="1:6">
      <c r="A146" s="252">
        <v>1</v>
      </c>
      <c r="B146" s="252" t="s">
        <v>769</v>
      </c>
      <c r="C146" s="252" t="s">
        <v>2009</v>
      </c>
      <c r="D146" s="252">
        <v>999</v>
      </c>
      <c r="E146" s="296" t="s">
        <v>868</v>
      </c>
      <c r="F146" s="407">
        <v>999</v>
      </c>
    </row>
    <row r="147" spans="1:6">
      <c r="A147" s="252"/>
      <c r="B147" s="252" t="s">
        <v>449</v>
      </c>
      <c r="C147" s="252" t="s">
        <v>450</v>
      </c>
      <c r="D147" s="252" t="s">
        <v>975</v>
      </c>
      <c r="E147" s="296" t="s">
        <v>449</v>
      </c>
      <c r="F147" s="407">
        <v>0</v>
      </c>
    </row>
    <row r="148" spans="1:6">
      <c r="A148" s="252"/>
      <c r="B148" s="252"/>
      <c r="C148" s="252"/>
      <c r="D148" s="252"/>
      <c r="E148" s="296"/>
      <c r="F148" s="407" t="s">
        <v>1586</v>
      </c>
    </row>
    <row r="149" spans="1:6">
      <c r="A149" s="252"/>
      <c r="B149" s="252"/>
      <c r="C149" s="252" t="s">
        <v>441</v>
      </c>
      <c r="D149" s="252"/>
      <c r="E149" s="296"/>
      <c r="F149" s="407">
        <v>7979.75</v>
      </c>
    </row>
    <row r="150" spans="1:6">
      <c r="A150" s="252"/>
      <c r="B150" s="252"/>
      <c r="C150" s="252"/>
      <c r="D150" s="252"/>
      <c r="E150" s="296"/>
      <c r="F150" s="407" t="s">
        <v>1586</v>
      </c>
    </row>
    <row r="151" spans="1:6">
      <c r="A151" s="252"/>
      <c r="B151" s="252"/>
      <c r="C151" s="252" t="s">
        <v>552</v>
      </c>
      <c r="D151" s="252"/>
      <c r="E151" s="296"/>
      <c r="F151" s="1080">
        <v>797.98</v>
      </c>
    </row>
    <row r="152" spans="1:6">
      <c r="A152" s="252"/>
      <c r="B152" s="252"/>
      <c r="C152" s="252"/>
      <c r="D152" s="252"/>
      <c r="E152" s="296"/>
      <c r="F152" s="407" t="s">
        <v>2055</v>
      </c>
    </row>
    <row r="153" spans="1:6">
      <c r="A153" s="252"/>
      <c r="B153" s="252"/>
      <c r="C153" s="252" t="s">
        <v>386</v>
      </c>
      <c r="D153" s="252"/>
      <c r="E153" s="296">
        <v>8.68</v>
      </c>
      <c r="F153" s="407">
        <v>806.66</v>
      </c>
    </row>
    <row r="154" spans="1:6">
      <c r="A154" s="252"/>
      <c r="B154" s="252"/>
      <c r="C154" s="252" t="s">
        <v>388</v>
      </c>
      <c r="D154" s="252"/>
      <c r="E154" s="296">
        <v>17.510000000000002</v>
      </c>
      <c r="F154" s="407">
        <v>824.17</v>
      </c>
    </row>
    <row r="155" spans="1:6">
      <c r="A155" s="252"/>
      <c r="B155" s="252"/>
      <c r="C155" s="252" t="s">
        <v>2232</v>
      </c>
      <c r="D155" s="252"/>
      <c r="E155" s="296"/>
      <c r="F155" s="407">
        <v>841.68</v>
      </c>
    </row>
    <row r="156" spans="1:6">
      <c r="A156" s="252"/>
      <c r="B156" s="252"/>
      <c r="C156" s="252" t="s">
        <v>380</v>
      </c>
      <c r="D156" s="252"/>
      <c r="E156" s="296"/>
      <c r="F156" s="407">
        <v>859.19</v>
      </c>
    </row>
    <row r="157" spans="1:6">
      <c r="A157" s="252"/>
      <c r="B157" s="252"/>
      <c r="C157" s="252"/>
      <c r="D157" s="252"/>
      <c r="E157" s="296"/>
      <c r="F157" s="407"/>
    </row>
    <row r="158" spans="1:6">
      <c r="A158" s="252" t="s">
        <v>1296</v>
      </c>
      <c r="B158" s="252" t="s">
        <v>2251</v>
      </c>
      <c r="C158" s="252" t="s">
        <v>4</v>
      </c>
      <c r="D158" s="252"/>
      <c r="E158" s="296"/>
      <c r="F158" s="407"/>
    </row>
    <row r="159" spans="1:6">
      <c r="A159" s="252"/>
      <c r="B159" s="252"/>
      <c r="C159" s="252" t="s">
        <v>1586</v>
      </c>
      <c r="D159" s="252"/>
      <c r="E159" s="296"/>
      <c r="F159" s="407"/>
    </row>
    <row r="160" spans="1:6">
      <c r="A160" s="252">
        <v>0.14000000000000001</v>
      </c>
      <c r="B160" s="252" t="s">
        <v>869</v>
      </c>
      <c r="C160" s="252" t="s">
        <v>1625</v>
      </c>
      <c r="D160" s="252">
        <v>3597.1</v>
      </c>
      <c r="E160" s="296" t="s">
        <v>869</v>
      </c>
      <c r="F160" s="407">
        <v>503.59</v>
      </c>
    </row>
    <row r="161" spans="1:6">
      <c r="A161" s="252">
        <v>1.1000000000000001</v>
      </c>
      <c r="B161" s="252" t="s">
        <v>868</v>
      </c>
      <c r="C161" s="252" t="s">
        <v>2009</v>
      </c>
      <c r="D161" s="252">
        <v>999</v>
      </c>
      <c r="E161" s="296" t="s">
        <v>868</v>
      </c>
      <c r="F161" s="407">
        <v>1098.9000000000001</v>
      </c>
    </row>
    <row r="162" spans="1:6">
      <c r="A162" s="252">
        <v>0.5</v>
      </c>
      <c r="B162" s="252" t="s">
        <v>868</v>
      </c>
      <c r="C162" s="252" t="s">
        <v>1902</v>
      </c>
      <c r="D162" s="252">
        <v>651</v>
      </c>
      <c r="E162" s="296" t="s">
        <v>868</v>
      </c>
      <c r="F162" s="407">
        <v>325.5</v>
      </c>
    </row>
    <row r="163" spans="1:6">
      <c r="A163" s="252">
        <v>1.1000000000000001</v>
      </c>
      <c r="B163" s="252" t="s">
        <v>868</v>
      </c>
      <c r="C163" s="252" t="s">
        <v>320</v>
      </c>
      <c r="D163" s="252">
        <v>534</v>
      </c>
      <c r="E163" s="296" t="s">
        <v>868</v>
      </c>
      <c r="F163" s="407">
        <v>587.4</v>
      </c>
    </row>
    <row r="164" spans="1:6">
      <c r="A164" s="252"/>
      <c r="B164" s="252" t="s">
        <v>449</v>
      </c>
      <c r="C164" s="252" t="s">
        <v>450</v>
      </c>
      <c r="D164" s="252" t="s">
        <v>975</v>
      </c>
      <c r="E164" s="296" t="s">
        <v>449</v>
      </c>
      <c r="F164" s="407">
        <v>5</v>
      </c>
    </row>
    <row r="165" spans="1:6">
      <c r="A165" s="252"/>
      <c r="B165" s="252"/>
      <c r="C165" s="252"/>
      <c r="D165" s="252"/>
      <c r="E165" s="296"/>
      <c r="F165" s="407" t="s">
        <v>1586</v>
      </c>
    </row>
    <row r="166" spans="1:6">
      <c r="A166" s="252"/>
      <c r="B166" s="252"/>
      <c r="C166" s="252" t="s">
        <v>441</v>
      </c>
      <c r="D166" s="252"/>
      <c r="E166" s="296"/>
      <c r="F166" s="407">
        <v>2520.39</v>
      </c>
    </row>
    <row r="167" spans="1:6">
      <c r="A167" s="252"/>
      <c r="B167" s="252"/>
      <c r="C167" s="252"/>
      <c r="D167" s="252"/>
      <c r="E167" s="296"/>
      <c r="F167" s="407" t="s">
        <v>1586</v>
      </c>
    </row>
    <row r="168" spans="1:6">
      <c r="A168" s="252"/>
      <c r="B168" s="252"/>
      <c r="C168" s="252" t="s">
        <v>552</v>
      </c>
      <c r="D168" s="252"/>
      <c r="E168" s="296"/>
      <c r="F168" s="1080">
        <v>252.04</v>
      </c>
    </row>
    <row r="169" spans="1:6">
      <c r="A169" s="252" t="s">
        <v>975</v>
      </c>
      <c r="B169" s="252"/>
      <c r="C169" s="252"/>
      <c r="D169" s="252"/>
      <c r="E169" s="296"/>
      <c r="F169" s="407"/>
    </row>
    <row r="170" spans="1:6">
      <c r="A170" s="252"/>
      <c r="B170" s="252"/>
      <c r="C170" s="252"/>
      <c r="D170" s="252"/>
      <c r="E170" s="296"/>
      <c r="F170" s="407"/>
    </row>
    <row r="171" spans="1:6">
      <c r="A171" s="252"/>
      <c r="B171" s="252"/>
      <c r="C171" s="252" t="s">
        <v>2026</v>
      </c>
      <c r="D171" s="252"/>
      <c r="E171" s="296"/>
      <c r="F171" s="407"/>
    </row>
    <row r="172" spans="1:6">
      <c r="A172" s="252"/>
      <c r="B172" s="252"/>
      <c r="C172" s="252"/>
      <c r="D172" s="252"/>
      <c r="E172" s="296"/>
      <c r="F172" s="407"/>
    </row>
    <row r="173" spans="1:6">
      <c r="A173" s="252" t="s">
        <v>2027</v>
      </c>
      <c r="B173" s="252"/>
      <c r="C173" s="252" t="s">
        <v>2028</v>
      </c>
      <c r="D173" s="252"/>
      <c r="E173" s="296"/>
      <c r="F173" s="407"/>
    </row>
    <row r="174" spans="1:6">
      <c r="A174" s="252"/>
      <c r="B174" s="252"/>
      <c r="C174" s="252" t="s">
        <v>352</v>
      </c>
      <c r="D174" s="252"/>
      <c r="E174" s="296"/>
      <c r="F174" s="407"/>
    </row>
    <row r="175" spans="1:6">
      <c r="A175" s="252"/>
      <c r="B175" s="252"/>
      <c r="C175" s="252"/>
      <c r="D175" s="252"/>
      <c r="E175" s="296"/>
      <c r="F175" s="407"/>
    </row>
    <row r="176" spans="1:6">
      <c r="A176" s="252">
        <v>1.96</v>
      </c>
      <c r="B176" s="252" t="s">
        <v>2151</v>
      </c>
      <c r="C176" s="252" t="s">
        <v>353</v>
      </c>
      <c r="D176" s="252">
        <v>5840.67</v>
      </c>
      <c r="E176" s="296" t="s">
        <v>869</v>
      </c>
      <c r="F176" s="407">
        <v>11447.71</v>
      </c>
    </row>
    <row r="177" spans="1:6">
      <c r="A177" s="252">
        <v>2</v>
      </c>
      <c r="B177" s="252" t="s">
        <v>1394</v>
      </c>
      <c r="C177" s="252" t="s">
        <v>354</v>
      </c>
      <c r="D177" s="252">
        <v>999</v>
      </c>
      <c r="E177" s="296" t="s">
        <v>868</v>
      </c>
      <c r="F177" s="407">
        <v>1998</v>
      </c>
    </row>
    <row r="178" spans="1:6">
      <c r="A178" s="252">
        <v>2</v>
      </c>
      <c r="B178" s="252" t="s">
        <v>1394</v>
      </c>
      <c r="C178" s="252" t="s">
        <v>355</v>
      </c>
      <c r="D178" s="252">
        <v>534</v>
      </c>
      <c r="E178" s="296" t="s">
        <v>868</v>
      </c>
      <c r="F178" s="407">
        <v>1068</v>
      </c>
    </row>
    <row r="179" spans="1:6">
      <c r="A179" s="252">
        <v>0.28000000000000003</v>
      </c>
      <c r="B179" s="252" t="s">
        <v>2283</v>
      </c>
      <c r="C179" s="252" t="s">
        <v>356</v>
      </c>
      <c r="D179" s="252">
        <v>848.08</v>
      </c>
      <c r="E179" s="296" t="s">
        <v>868</v>
      </c>
      <c r="F179" s="407">
        <v>237.46</v>
      </c>
    </row>
    <row r="180" spans="1:6">
      <c r="A180" s="252">
        <v>500</v>
      </c>
      <c r="B180" s="252" t="s">
        <v>1394</v>
      </c>
      <c r="C180" s="252" t="s">
        <v>2146</v>
      </c>
      <c r="D180" s="252">
        <v>2</v>
      </c>
      <c r="E180" s="296" t="s">
        <v>868</v>
      </c>
      <c r="F180" s="407">
        <v>1000</v>
      </c>
    </row>
    <row r="181" spans="1:6">
      <c r="A181" s="252">
        <v>8.5</v>
      </c>
      <c r="B181" s="252" t="s">
        <v>2147</v>
      </c>
      <c r="C181" s="252" t="s">
        <v>4231</v>
      </c>
      <c r="D181" s="252">
        <v>43.6</v>
      </c>
      <c r="E181" s="296" t="s">
        <v>2147</v>
      </c>
      <c r="F181" s="407">
        <v>370.6</v>
      </c>
    </row>
    <row r="182" spans="1:6">
      <c r="A182" s="252"/>
      <c r="B182" s="252"/>
      <c r="C182" s="252" t="s">
        <v>2271</v>
      </c>
      <c r="D182" s="252"/>
      <c r="E182" s="296"/>
      <c r="F182" s="407">
        <v>1.96</v>
      </c>
    </row>
    <row r="183" spans="1:6">
      <c r="A183" s="252"/>
      <c r="B183" s="252"/>
      <c r="C183" s="252"/>
      <c r="D183" s="252" t="s">
        <v>1729</v>
      </c>
      <c r="E183" s="296"/>
      <c r="F183" s="407">
        <v>16123.73</v>
      </c>
    </row>
    <row r="184" spans="1:6">
      <c r="A184" s="252"/>
      <c r="B184" s="252"/>
      <c r="C184" s="252"/>
      <c r="D184" s="252"/>
      <c r="E184" s="296"/>
      <c r="F184" s="407" t="s">
        <v>1586</v>
      </c>
    </row>
    <row r="185" spans="1:6">
      <c r="A185" s="252"/>
      <c r="B185" s="252"/>
      <c r="C185" s="252"/>
      <c r="D185" s="252" t="s">
        <v>1730</v>
      </c>
      <c r="E185" s="296"/>
      <c r="F185" s="1080">
        <v>411.32</v>
      </c>
    </row>
    <row r="186" spans="1:6">
      <c r="A186" s="252"/>
      <c r="B186" s="252"/>
      <c r="C186" s="252"/>
      <c r="D186" s="252"/>
      <c r="E186" s="296"/>
      <c r="F186" s="407" t="s">
        <v>2055</v>
      </c>
    </row>
    <row r="187" spans="1:6">
      <c r="A187" s="252"/>
      <c r="B187" s="252" t="s">
        <v>2251</v>
      </c>
      <c r="C187" s="252" t="s">
        <v>842</v>
      </c>
      <c r="D187" s="252"/>
      <c r="E187" s="296"/>
      <c r="F187" s="407"/>
    </row>
    <row r="188" spans="1:6">
      <c r="A188" s="252"/>
      <c r="B188" s="252"/>
      <c r="C188" s="252" t="s">
        <v>843</v>
      </c>
      <c r="D188" s="252"/>
      <c r="E188" s="296"/>
      <c r="F188" s="407"/>
    </row>
    <row r="189" spans="1:6">
      <c r="A189" s="252"/>
      <c r="B189" s="252"/>
      <c r="C189" s="252" t="s">
        <v>844</v>
      </c>
      <c r="D189" s="252"/>
      <c r="E189" s="296"/>
      <c r="F189" s="407"/>
    </row>
    <row r="190" spans="1:6">
      <c r="A190" s="252"/>
      <c r="B190" s="252"/>
      <c r="C190" s="252" t="s">
        <v>1586</v>
      </c>
      <c r="D190" s="252"/>
      <c r="E190" s="296"/>
      <c r="F190" s="407"/>
    </row>
    <row r="191" spans="1:6">
      <c r="A191" s="252">
        <v>0.14000000000000001</v>
      </c>
      <c r="B191" s="252" t="s">
        <v>869</v>
      </c>
      <c r="C191" s="252" t="s">
        <v>1353</v>
      </c>
      <c r="D191" s="252">
        <v>4756.78</v>
      </c>
      <c r="E191" s="296" t="s">
        <v>869</v>
      </c>
      <c r="F191" s="407">
        <v>665.95</v>
      </c>
    </row>
    <row r="192" spans="1:6">
      <c r="A192" s="252">
        <v>1.1000000000000001</v>
      </c>
      <c r="B192" s="252" t="s">
        <v>868</v>
      </c>
      <c r="C192" s="252" t="s">
        <v>2009</v>
      </c>
      <c r="D192" s="252">
        <v>999</v>
      </c>
      <c r="E192" s="296" t="s">
        <v>868</v>
      </c>
      <c r="F192" s="407">
        <v>1098.9000000000001</v>
      </c>
    </row>
    <row r="193" spans="1:6">
      <c r="A193" s="252">
        <v>0.5</v>
      </c>
      <c r="B193" s="252" t="s">
        <v>868</v>
      </c>
      <c r="C193" s="252" t="s">
        <v>1902</v>
      </c>
      <c r="D193" s="252">
        <v>651</v>
      </c>
      <c r="E193" s="296" t="s">
        <v>868</v>
      </c>
      <c r="F193" s="407">
        <v>325.5</v>
      </c>
    </row>
    <row r="194" spans="1:6">
      <c r="A194" s="252">
        <v>1.1000000000000001</v>
      </c>
      <c r="B194" s="252" t="s">
        <v>868</v>
      </c>
      <c r="C194" s="252" t="s">
        <v>320</v>
      </c>
      <c r="D194" s="252">
        <v>534</v>
      </c>
      <c r="E194" s="296" t="s">
        <v>868</v>
      </c>
      <c r="F194" s="407">
        <v>587.4</v>
      </c>
    </row>
    <row r="195" spans="1:6">
      <c r="A195" s="252">
        <v>2</v>
      </c>
      <c r="B195" s="252" t="s">
        <v>1645</v>
      </c>
      <c r="C195" s="252" t="s">
        <v>845</v>
      </c>
      <c r="D195" s="252">
        <v>42.7</v>
      </c>
      <c r="E195" s="296" t="s">
        <v>1645</v>
      </c>
      <c r="F195" s="407">
        <v>85.4</v>
      </c>
    </row>
    <row r="196" spans="1:6">
      <c r="A196" s="252"/>
      <c r="B196" s="252" t="s">
        <v>449</v>
      </c>
      <c r="C196" s="252" t="s">
        <v>450</v>
      </c>
      <c r="D196" s="252" t="s">
        <v>975</v>
      </c>
      <c r="E196" s="296" t="s">
        <v>449</v>
      </c>
      <c r="F196" s="407">
        <v>5</v>
      </c>
    </row>
    <row r="197" spans="1:6">
      <c r="A197" s="252"/>
      <c r="B197" s="252"/>
      <c r="C197" s="252"/>
      <c r="D197" s="252"/>
      <c r="E197" s="296"/>
      <c r="F197" s="407" t="s">
        <v>1586</v>
      </c>
    </row>
    <row r="198" spans="1:6">
      <c r="A198" s="252" t="s">
        <v>975</v>
      </c>
      <c r="B198" s="252"/>
      <c r="C198" s="252" t="s">
        <v>441</v>
      </c>
      <c r="D198" s="252"/>
      <c r="E198" s="296"/>
      <c r="F198" s="407">
        <v>2768.15</v>
      </c>
    </row>
    <row r="199" spans="1:6">
      <c r="A199" s="252"/>
      <c r="B199" s="252"/>
      <c r="C199" s="252"/>
      <c r="D199" s="252"/>
      <c r="E199" s="296"/>
      <c r="F199" s="407" t="s">
        <v>1586</v>
      </c>
    </row>
    <row r="200" spans="1:6">
      <c r="A200" s="252"/>
      <c r="B200" s="252"/>
      <c r="C200" s="252" t="s">
        <v>552</v>
      </c>
      <c r="D200" s="252"/>
      <c r="E200" s="296"/>
      <c r="F200" s="1080">
        <v>276.82</v>
      </c>
    </row>
    <row r="201" spans="1:6">
      <c r="A201" s="252"/>
      <c r="B201" s="252"/>
      <c r="C201" s="252"/>
      <c r="D201" s="252"/>
      <c r="E201" s="296"/>
      <c r="F201" s="407" t="s">
        <v>2055</v>
      </c>
    </row>
    <row r="202" spans="1:6">
      <c r="A202" s="252">
        <v>44.1</v>
      </c>
      <c r="B202" s="252" t="s">
        <v>2251</v>
      </c>
      <c r="C202" s="252" t="s">
        <v>1596</v>
      </c>
      <c r="D202" s="252"/>
      <c r="E202" s="296"/>
      <c r="F202" s="407"/>
    </row>
    <row r="203" spans="1:6">
      <c r="A203" s="252"/>
      <c r="B203" s="252"/>
      <c r="C203" s="252" t="s">
        <v>1597</v>
      </c>
      <c r="D203" s="252"/>
      <c r="E203" s="296"/>
      <c r="F203" s="407"/>
    </row>
    <row r="204" spans="1:6">
      <c r="A204" s="252"/>
      <c r="B204" s="252"/>
      <c r="C204" s="252" t="s">
        <v>6554</v>
      </c>
      <c r="D204" s="252"/>
      <c r="E204" s="296"/>
      <c r="F204" s="407"/>
    </row>
    <row r="205" spans="1:6">
      <c r="A205" s="252"/>
      <c r="B205" s="252"/>
      <c r="C205" s="252" t="s">
        <v>1586</v>
      </c>
      <c r="D205" s="252"/>
      <c r="E205" s="296"/>
      <c r="F205" s="407"/>
    </row>
    <row r="206" spans="1:6">
      <c r="A206" s="252">
        <v>3</v>
      </c>
      <c r="B206" s="252" t="s">
        <v>1771</v>
      </c>
      <c r="C206" s="252" t="s">
        <v>2046</v>
      </c>
      <c r="D206" s="252">
        <v>120.54</v>
      </c>
      <c r="E206" s="296" t="s">
        <v>1771</v>
      </c>
      <c r="F206" s="407">
        <v>361.62</v>
      </c>
    </row>
    <row r="207" spans="1:6">
      <c r="A207" s="252">
        <v>1</v>
      </c>
      <c r="B207" s="252" t="s">
        <v>868</v>
      </c>
      <c r="C207" s="252" t="s">
        <v>2099</v>
      </c>
      <c r="D207" s="252">
        <v>76</v>
      </c>
      <c r="E207" s="296" t="s">
        <v>868</v>
      </c>
      <c r="F207" s="407">
        <v>76</v>
      </c>
    </row>
    <row r="208" spans="1:6">
      <c r="A208" s="252">
        <v>1</v>
      </c>
      <c r="B208" s="252" t="s">
        <v>868</v>
      </c>
      <c r="C208" s="252" t="s">
        <v>2100</v>
      </c>
      <c r="D208" s="252">
        <v>83.4</v>
      </c>
      <c r="E208" s="296" t="s">
        <v>868</v>
      </c>
      <c r="F208" s="407">
        <v>83.4</v>
      </c>
    </row>
    <row r="209" spans="1:6">
      <c r="A209" s="252">
        <v>2</v>
      </c>
      <c r="B209" s="252" t="s">
        <v>868</v>
      </c>
      <c r="C209" s="252" t="s">
        <v>2101</v>
      </c>
      <c r="D209" s="252">
        <v>21.6</v>
      </c>
      <c r="E209" s="296" t="s">
        <v>868</v>
      </c>
      <c r="F209" s="407">
        <v>43.2</v>
      </c>
    </row>
    <row r="210" spans="1:6">
      <c r="A210" s="252">
        <v>1</v>
      </c>
      <c r="B210" s="252" t="s">
        <v>868</v>
      </c>
      <c r="C210" s="252" t="s">
        <v>2102</v>
      </c>
      <c r="D210" s="252">
        <v>32.1</v>
      </c>
      <c r="E210" s="296" t="s">
        <v>868</v>
      </c>
      <c r="F210" s="407">
        <v>32.1</v>
      </c>
    </row>
    <row r="211" spans="1:6">
      <c r="A211" s="252">
        <v>0.5</v>
      </c>
      <c r="B211" s="252" t="s">
        <v>868</v>
      </c>
      <c r="C211" s="252" t="s">
        <v>2103</v>
      </c>
      <c r="D211" s="252">
        <v>866</v>
      </c>
      <c r="E211" s="296" t="s">
        <v>868</v>
      </c>
      <c r="F211" s="407">
        <v>433</v>
      </c>
    </row>
    <row r="212" spans="1:6">
      <c r="A212" s="252"/>
      <c r="B212" s="252" t="s">
        <v>449</v>
      </c>
      <c r="C212" s="252" t="s">
        <v>605</v>
      </c>
      <c r="D212" s="252"/>
      <c r="E212" s="296" t="s">
        <v>449</v>
      </c>
      <c r="F212" s="407"/>
    </row>
    <row r="213" spans="1:6">
      <c r="A213" s="252"/>
      <c r="B213" s="252"/>
      <c r="C213" s="252" t="s">
        <v>20</v>
      </c>
      <c r="D213" s="252"/>
      <c r="E213" s="296"/>
      <c r="F213" s="407"/>
    </row>
    <row r="214" spans="1:6">
      <c r="A214" s="252"/>
      <c r="B214" s="252"/>
      <c r="C214" s="252"/>
      <c r="D214" s="252"/>
      <c r="E214" s="296"/>
      <c r="F214" s="407" t="s">
        <v>1586</v>
      </c>
    </row>
    <row r="215" spans="1:6">
      <c r="A215" s="252"/>
      <c r="B215" s="252"/>
      <c r="C215" s="252" t="s">
        <v>1317</v>
      </c>
      <c r="D215" s="252"/>
      <c r="E215" s="296"/>
      <c r="F215" s="407">
        <v>1029.32</v>
      </c>
    </row>
    <row r="216" spans="1:6">
      <c r="A216" s="252" t="s">
        <v>975</v>
      </c>
      <c r="B216" s="252"/>
      <c r="C216" s="252"/>
      <c r="D216" s="252"/>
      <c r="E216" s="296"/>
      <c r="F216" s="407"/>
    </row>
    <row r="217" spans="1:6">
      <c r="A217" s="252"/>
      <c r="B217" s="252"/>
      <c r="C217" s="252"/>
      <c r="D217" s="252"/>
      <c r="E217" s="296"/>
      <c r="F217" s="407" t="s">
        <v>1586</v>
      </c>
    </row>
    <row r="218" spans="1:6">
      <c r="A218" s="252"/>
      <c r="B218" s="252"/>
      <c r="C218" s="252" t="s">
        <v>1545</v>
      </c>
      <c r="D218" s="252"/>
      <c r="E218" s="296"/>
      <c r="F218" s="1080">
        <v>343.11</v>
      </c>
    </row>
    <row r="219" spans="1:6">
      <c r="A219" s="252"/>
      <c r="B219" s="252"/>
      <c r="C219" s="252"/>
      <c r="D219" s="252"/>
      <c r="E219" s="296"/>
      <c r="F219" s="407"/>
    </row>
    <row r="220" spans="1:6">
      <c r="A220" s="252" t="s">
        <v>714</v>
      </c>
      <c r="B220" s="252" t="s">
        <v>2251</v>
      </c>
      <c r="C220" s="252" t="s">
        <v>808</v>
      </c>
      <c r="D220" s="252"/>
      <c r="E220" s="296"/>
      <c r="F220" s="407"/>
    </row>
    <row r="221" spans="1:6">
      <c r="A221" s="252"/>
      <c r="B221" s="252"/>
      <c r="C221" s="252" t="s">
        <v>160</v>
      </c>
      <c r="D221" s="252"/>
      <c r="E221" s="296"/>
      <c r="F221" s="407"/>
    </row>
    <row r="222" spans="1:6">
      <c r="A222" s="252"/>
      <c r="B222" s="252"/>
      <c r="C222" s="252" t="s">
        <v>1586</v>
      </c>
      <c r="D222" s="252"/>
      <c r="E222" s="296"/>
      <c r="F222" s="407"/>
    </row>
    <row r="223" spans="1:6">
      <c r="A223" s="252"/>
      <c r="B223" s="252" t="s">
        <v>689</v>
      </c>
      <c r="C223" s="252" t="s">
        <v>40</v>
      </c>
      <c r="D223" s="252"/>
      <c r="E223" s="296"/>
      <c r="F223" s="407"/>
    </row>
    <row r="224" spans="1:6">
      <c r="A224" s="252"/>
      <c r="B224" s="252"/>
      <c r="C224" s="252" t="s">
        <v>6555</v>
      </c>
      <c r="D224" s="252"/>
      <c r="E224" s="296"/>
      <c r="F224" s="407"/>
    </row>
    <row r="225" spans="1:6">
      <c r="A225" s="252"/>
      <c r="B225" s="252"/>
      <c r="C225" s="252" t="s">
        <v>946</v>
      </c>
      <c r="D225" s="252"/>
      <c r="E225" s="296"/>
      <c r="F225" s="407"/>
    </row>
    <row r="226" spans="1:6">
      <c r="A226" s="252"/>
      <c r="B226" s="252"/>
      <c r="C226" s="252" t="s">
        <v>947</v>
      </c>
      <c r="D226" s="252"/>
      <c r="E226" s="296"/>
      <c r="F226" s="407"/>
    </row>
    <row r="227" spans="1:6">
      <c r="A227" s="252"/>
      <c r="B227" s="252"/>
      <c r="C227" s="252" t="s">
        <v>2104</v>
      </c>
      <c r="D227" s="252"/>
      <c r="E227" s="296"/>
      <c r="F227" s="407"/>
    </row>
    <row r="228" spans="1:6">
      <c r="A228" s="252"/>
      <c r="B228" s="252"/>
      <c r="C228" s="252" t="s">
        <v>2105</v>
      </c>
      <c r="D228" s="252"/>
      <c r="E228" s="296"/>
      <c r="F228" s="407"/>
    </row>
    <row r="229" spans="1:6">
      <c r="A229" s="252"/>
      <c r="B229" s="252"/>
      <c r="C229" s="252" t="s">
        <v>199</v>
      </c>
      <c r="D229" s="252"/>
      <c r="E229" s="296"/>
      <c r="F229" s="407"/>
    </row>
    <row r="230" spans="1:6">
      <c r="A230" s="252"/>
      <c r="B230" s="252"/>
      <c r="C230" s="252" t="s">
        <v>1586</v>
      </c>
      <c r="D230" s="252"/>
      <c r="E230" s="296"/>
      <c r="F230" s="407"/>
    </row>
    <row r="231" spans="1:6">
      <c r="A231" s="252">
        <v>3</v>
      </c>
      <c r="B231" s="252" t="s">
        <v>1771</v>
      </c>
      <c r="C231" s="252" t="s">
        <v>2106</v>
      </c>
      <c r="D231" s="252">
        <v>193.05</v>
      </c>
      <c r="E231" s="296" t="s">
        <v>1771</v>
      </c>
      <c r="F231" s="407">
        <v>579.15</v>
      </c>
    </row>
    <row r="232" spans="1:6">
      <c r="A232" s="252">
        <v>1</v>
      </c>
      <c r="B232" s="252" t="s">
        <v>769</v>
      </c>
      <c r="C232" s="252" t="s">
        <v>670</v>
      </c>
      <c r="D232" s="252">
        <v>76</v>
      </c>
      <c r="E232" s="296" t="s">
        <v>1716</v>
      </c>
      <c r="F232" s="407">
        <v>76</v>
      </c>
    </row>
    <row r="233" spans="1:6">
      <c r="A233" s="252">
        <v>1</v>
      </c>
      <c r="B233" s="252" t="s">
        <v>769</v>
      </c>
      <c r="C233" s="252" t="s">
        <v>671</v>
      </c>
      <c r="D233" s="252">
        <v>82.3</v>
      </c>
      <c r="E233" s="296" t="s">
        <v>1716</v>
      </c>
      <c r="F233" s="407">
        <v>82.3</v>
      </c>
    </row>
    <row r="234" spans="1:6">
      <c r="A234" s="252">
        <v>1</v>
      </c>
      <c r="B234" s="252" t="s">
        <v>769</v>
      </c>
      <c r="C234" s="252" t="s">
        <v>4129</v>
      </c>
      <c r="D234" s="252">
        <v>187.8</v>
      </c>
      <c r="E234" s="296" t="s">
        <v>1716</v>
      </c>
      <c r="F234" s="407">
        <v>187.8</v>
      </c>
    </row>
    <row r="235" spans="1:6">
      <c r="A235" s="252">
        <v>0.5</v>
      </c>
      <c r="B235" s="252" t="s">
        <v>868</v>
      </c>
      <c r="C235" s="252" t="s">
        <v>2103</v>
      </c>
      <c r="D235" s="252">
        <v>866</v>
      </c>
      <c r="E235" s="296" t="s">
        <v>1716</v>
      </c>
      <c r="F235" s="407">
        <v>433</v>
      </c>
    </row>
    <row r="236" spans="1:6">
      <c r="A236" s="252">
        <v>0.5</v>
      </c>
      <c r="B236" s="252" t="s">
        <v>868</v>
      </c>
      <c r="C236" s="252" t="s">
        <v>1712</v>
      </c>
      <c r="D236" s="252">
        <v>932</v>
      </c>
      <c r="E236" s="296" t="s">
        <v>1716</v>
      </c>
      <c r="F236" s="407">
        <v>466</v>
      </c>
    </row>
    <row r="237" spans="1:6">
      <c r="A237" s="252">
        <v>0.5</v>
      </c>
      <c r="B237" s="252" t="s">
        <v>868</v>
      </c>
      <c r="C237" s="252" t="s">
        <v>1902</v>
      </c>
      <c r="D237" s="252">
        <v>651</v>
      </c>
      <c r="E237" s="296" t="s">
        <v>1716</v>
      </c>
      <c r="F237" s="407">
        <v>325.5</v>
      </c>
    </row>
    <row r="238" spans="1:6">
      <c r="A238" s="252"/>
      <c r="B238" s="252" t="s">
        <v>449</v>
      </c>
      <c r="C238" s="252" t="s">
        <v>1523</v>
      </c>
      <c r="D238" s="252">
        <v>2.79</v>
      </c>
      <c r="E238" s="296" t="s">
        <v>449</v>
      </c>
      <c r="F238" s="407">
        <v>2.79</v>
      </c>
    </row>
    <row r="239" spans="1:6">
      <c r="A239" s="252"/>
      <c r="B239" s="252"/>
      <c r="C239" s="252" t="s">
        <v>83</v>
      </c>
      <c r="D239" s="252"/>
      <c r="E239" s="296"/>
      <c r="F239" s="407"/>
    </row>
    <row r="240" spans="1:6">
      <c r="A240" s="252"/>
      <c r="B240" s="252"/>
      <c r="C240" s="252" t="s">
        <v>190</v>
      </c>
      <c r="D240" s="252"/>
      <c r="E240" s="296"/>
      <c r="F240" s="407"/>
    </row>
    <row r="241" spans="1:6">
      <c r="A241" s="252"/>
      <c r="B241" s="252"/>
      <c r="C241" s="252" t="s">
        <v>734</v>
      </c>
      <c r="D241" s="252"/>
      <c r="E241" s="296" t="s">
        <v>449</v>
      </c>
      <c r="F241" s="407">
        <v>0.12</v>
      </c>
    </row>
    <row r="242" spans="1:6">
      <c r="A242" s="252"/>
      <c r="B242" s="252"/>
      <c r="C242" s="252"/>
      <c r="D242" s="252"/>
      <c r="E242" s="296"/>
      <c r="F242" s="407" t="s">
        <v>1586</v>
      </c>
    </row>
    <row r="243" spans="1:6">
      <c r="A243" s="252"/>
      <c r="B243" s="252"/>
      <c r="C243" s="252" t="s">
        <v>1317</v>
      </c>
      <c r="D243" s="252"/>
      <c r="E243" s="296"/>
      <c r="F243" s="407">
        <v>2152.66</v>
      </c>
    </row>
    <row r="244" spans="1:6">
      <c r="A244" s="252"/>
      <c r="B244" s="252"/>
      <c r="C244" s="252"/>
      <c r="D244" s="252"/>
      <c r="E244" s="296"/>
      <c r="F244" s="407" t="s">
        <v>1586</v>
      </c>
    </row>
    <row r="245" spans="1:6">
      <c r="A245" s="252"/>
      <c r="B245" s="252"/>
      <c r="C245" s="252" t="s">
        <v>1545</v>
      </c>
      <c r="D245" s="252"/>
      <c r="E245" s="296"/>
      <c r="F245" s="1080">
        <v>717.55</v>
      </c>
    </row>
    <row r="246" spans="1:6">
      <c r="A246" s="252"/>
      <c r="B246" s="252"/>
      <c r="C246" s="252"/>
      <c r="D246" s="252"/>
      <c r="E246" s="296"/>
      <c r="F246" s="407" t="s">
        <v>1586</v>
      </c>
    </row>
    <row r="247" spans="1:6">
      <c r="A247" s="252" t="s">
        <v>735</v>
      </c>
      <c r="B247" s="252" t="s">
        <v>284</v>
      </c>
      <c r="C247" s="252" t="s">
        <v>736</v>
      </c>
      <c r="D247" s="252"/>
      <c r="E247" s="296"/>
      <c r="F247" s="407"/>
    </row>
    <row r="248" spans="1:6">
      <c r="A248" s="252"/>
      <c r="B248" s="252"/>
      <c r="C248" s="252" t="s">
        <v>6556</v>
      </c>
      <c r="D248" s="252"/>
      <c r="E248" s="296"/>
      <c r="F248" s="407"/>
    </row>
    <row r="249" spans="1:6">
      <c r="A249" s="252"/>
      <c r="B249" s="252"/>
      <c r="C249" s="252" t="s">
        <v>946</v>
      </c>
      <c r="D249" s="252"/>
      <c r="E249" s="296"/>
      <c r="F249" s="407"/>
    </row>
    <row r="250" spans="1:6">
      <c r="A250" s="252"/>
      <c r="B250" s="252"/>
      <c r="C250" s="252" t="s">
        <v>737</v>
      </c>
      <c r="D250" s="252"/>
      <c r="E250" s="296"/>
      <c r="F250" s="407"/>
    </row>
    <row r="251" spans="1:6">
      <c r="A251" s="252"/>
      <c r="B251" s="252"/>
      <c r="C251" s="252" t="s">
        <v>541</v>
      </c>
      <c r="D251" s="252"/>
      <c r="E251" s="296"/>
      <c r="F251" s="407"/>
    </row>
    <row r="252" spans="1:6">
      <c r="A252" s="252"/>
      <c r="B252" s="252"/>
      <c r="C252" s="252" t="s">
        <v>2105</v>
      </c>
      <c r="D252" s="252"/>
      <c r="E252" s="296"/>
      <c r="F252" s="407"/>
    </row>
    <row r="253" spans="1:6">
      <c r="A253" s="252"/>
      <c r="B253" s="252"/>
      <c r="C253" s="252" t="s">
        <v>199</v>
      </c>
      <c r="D253" s="252"/>
      <c r="E253" s="296"/>
      <c r="F253" s="407"/>
    </row>
    <row r="254" spans="1:6">
      <c r="A254" s="252"/>
      <c r="B254" s="252"/>
      <c r="C254" s="252" t="s">
        <v>1586</v>
      </c>
      <c r="D254" s="252"/>
      <c r="E254" s="296"/>
      <c r="F254" s="407"/>
    </row>
    <row r="255" spans="1:6">
      <c r="A255" s="375">
        <v>3</v>
      </c>
      <c r="B255" s="252" t="s">
        <v>1771</v>
      </c>
      <c r="C255" s="296" t="s">
        <v>1003</v>
      </c>
      <c r="D255" s="252">
        <v>115.85</v>
      </c>
      <c r="E255" s="296" t="s">
        <v>1771</v>
      </c>
      <c r="F255" s="407">
        <v>347.55</v>
      </c>
    </row>
    <row r="256" spans="1:6">
      <c r="A256" s="252">
        <v>1</v>
      </c>
      <c r="B256" s="252" t="s">
        <v>769</v>
      </c>
      <c r="C256" s="296" t="s">
        <v>1004</v>
      </c>
      <c r="D256" s="252">
        <v>45</v>
      </c>
      <c r="E256" s="296" t="s">
        <v>1716</v>
      </c>
      <c r="F256" s="407">
        <v>45</v>
      </c>
    </row>
    <row r="257" spans="1:6">
      <c r="A257" s="252">
        <v>1</v>
      </c>
      <c r="B257" s="252" t="s">
        <v>769</v>
      </c>
      <c r="C257" s="296" t="s">
        <v>1005</v>
      </c>
      <c r="D257" s="252">
        <v>55.5</v>
      </c>
      <c r="E257" s="296" t="s">
        <v>1716</v>
      </c>
      <c r="F257" s="407">
        <v>55.5</v>
      </c>
    </row>
    <row r="258" spans="1:6">
      <c r="A258" s="252">
        <v>1</v>
      </c>
      <c r="B258" s="252" t="s">
        <v>769</v>
      </c>
      <c r="C258" s="358" t="s">
        <v>84</v>
      </c>
      <c r="D258" s="358">
        <v>125.2</v>
      </c>
      <c r="E258" s="296" t="s">
        <v>1716</v>
      </c>
      <c r="F258" s="407">
        <v>125.2</v>
      </c>
    </row>
    <row r="259" spans="1:6">
      <c r="A259" s="252">
        <v>0.5</v>
      </c>
      <c r="B259" s="252" t="s">
        <v>868</v>
      </c>
      <c r="C259" s="296" t="s">
        <v>2103</v>
      </c>
      <c r="D259" s="252">
        <v>866</v>
      </c>
      <c r="E259" s="296" t="s">
        <v>1716</v>
      </c>
      <c r="F259" s="407">
        <v>433</v>
      </c>
    </row>
    <row r="260" spans="1:6">
      <c r="A260" s="252">
        <v>0.5</v>
      </c>
      <c r="B260" s="252" t="s">
        <v>868</v>
      </c>
      <c r="C260" s="296" t="s">
        <v>1712</v>
      </c>
      <c r="D260" s="252">
        <v>932</v>
      </c>
      <c r="E260" s="296" t="s">
        <v>1716</v>
      </c>
      <c r="F260" s="407">
        <v>466</v>
      </c>
    </row>
    <row r="261" spans="1:6">
      <c r="A261" s="252">
        <v>0.5</v>
      </c>
      <c r="B261" s="252" t="s">
        <v>868</v>
      </c>
      <c r="C261" s="296" t="s">
        <v>1902</v>
      </c>
      <c r="D261" s="252">
        <v>651</v>
      </c>
      <c r="E261" s="296" t="s">
        <v>1716</v>
      </c>
      <c r="F261" s="407">
        <v>325.5</v>
      </c>
    </row>
    <row r="262" spans="1:6">
      <c r="A262" s="252"/>
      <c r="B262" s="252" t="s">
        <v>449</v>
      </c>
      <c r="C262" s="296" t="s">
        <v>1523</v>
      </c>
      <c r="D262" s="252" t="s">
        <v>975</v>
      </c>
      <c r="E262" s="296" t="s">
        <v>449</v>
      </c>
      <c r="F262" s="407">
        <v>2.73</v>
      </c>
    </row>
    <row r="263" spans="1:6">
      <c r="A263" s="252"/>
      <c r="B263" s="252"/>
      <c r="C263" s="296" t="s">
        <v>83</v>
      </c>
      <c r="D263" s="252"/>
      <c r="E263" s="296"/>
      <c r="F263" s="407"/>
    </row>
    <row r="264" spans="1:6">
      <c r="A264" s="252"/>
      <c r="B264" s="252"/>
      <c r="C264" s="296" t="s">
        <v>190</v>
      </c>
      <c r="D264" s="252"/>
      <c r="E264" s="296"/>
      <c r="F264" s="407"/>
    </row>
    <row r="265" spans="1:6">
      <c r="A265" s="252"/>
      <c r="B265" s="252"/>
      <c r="C265" s="296" t="s">
        <v>734</v>
      </c>
      <c r="D265" s="252"/>
      <c r="E265" s="296" t="s">
        <v>449</v>
      </c>
      <c r="F265" s="407">
        <v>0.27</v>
      </c>
    </row>
    <row r="266" spans="1:6">
      <c r="A266" s="356"/>
      <c r="B266" s="252"/>
      <c r="C266" s="296"/>
      <c r="D266" s="252"/>
      <c r="E266" s="296"/>
      <c r="F266" s="407" t="s">
        <v>1586</v>
      </c>
    </row>
    <row r="267" spans="1:6">
      <c r="A267" s="356"/>
      <c r="B267" s="252"/>
      <c r="C267" s="296" t="s">
        <v>1317</v>
      </c>
      <c r="D267" s="252"/>
      <c r="E267" s="296"/>
      <c r="F267" s="407">
        <v>1800.75</v>
      </c>
    </row>
    <row r="268" spans="1:6">
      <c r="A268" s="252"/>
      <c r="B268" s="252"/>
      <c r="C268" s="296"/>
      <c r="D268" s="252"/>
      <c r="E268" s="296"/>
      <c r="F268" s="407" t="s">
        <v>1586</v>
      </c>
    </row>
    <row r="269" spans="1:6">
      <c r="A269" s="252"/>
      <c r="B269" s="252"/>
      <c r="C269" s="296" t="s">
        <v>1545</v>
      </c>
      <c r="D269" s="252"/>
      <c r="E269" s="296"/>
      <c r="F269" s="1080">
        <v>600.25</v>
      </c>
    </row>
    <row r="270" spans="1:6">
      <c r="A270" s="252"/>
      <c r="B270" s="252"/>
      <c r="C270" s="296"/>
      <c r="D270" s="252"/>
      <c r="E270" s="296"/>
      <c r="F270" s="407" t="s">
        <v>1586</v>
      </c>
    </row>
    <row r="271" spans="1:6" s="1046" customFormat="1">
      <c r="A271" s="252"/>
      <c r="B271" s="252"/>
      <c r="C271" s="296"/>
      <c r="D271" s="252"/>
      <c r="E271" s="296"/>
      <c r="F271" s="407"/>
    </row>
    <row r="272" spans="1:6" s="1046" customFormat="1">
      <c r="A272" s="252"/>
      <c r="B272" s="252"/>
      <c r="C272" s="252" t="s">
        <v>3654</v>
      </c>
      <c r="D272" s="252"/>
      <c r="E272" s="296"/>
      <c r="F272" s="407"/>
    </row>
    <row r="273" spans="1:6" s="1046" customFormat="1">
      <c r="A273" s="252"/>
      <c r="B273" s="252"/>
      <c r="C273" s="296" t="s">
        <v>3216</v>
      </c>
      <c r="D273" s="252"/>
      <c r="E273" s="296"/>
      <c r="F273" s="407"/>
    </row>
    <row r="274" spans="1:6" s="1046" customFormat="1">
      <c r="A274" s="252"/>
      <c r="B274" s="252"/>
      <c r="C274" s="252" t="s">
        <v>3655</v>
      </c>
      <c r="D274" s="252"/>
      <c r="E274" s="296"/>
      <c r="F274" s="407"/>
    </row>
    <row r="275" spans="1:6" s="1046" customFormat="1">
      <c r="A275" s="252">
        <v>0.1</v>
      </c>
      <c r="B275" s="252" t="s">
        <v>1432</v>
      </c>
      <c r="C275" s="1044" t="s">
        <v>653</v>
      </c>
      <c r="D275" s="252">
        <v>881</v>
      </c>
      <c r="E275" s="296" t="s">
        <v>1398</v>
      </c>
      <c r="F275" s="407">
        <v>88.1</v>
      </c>
    </row>
    <row r="276" spans="1:6" s="1046" customFormat="1">
      <c r="A276" s="252">
        <v>0.1</v>
      </c>
      <c r="B276" s="252" t="s">
        <v>3656</v>
      </c>
      <c r="C276" s="252" t="s">
        <v>348</v>
      </c>
      <c r="D276" s="252">
        <v>651</v>
      </c>
      <c r="E276" s="296" t="s">
        <v>1398</v>
      </c>
      <c r="F276" s="407">
        <v>65.099999999999994</v>
      </c>
    </row>
    <row r="277" spans="1:6" s="1046" customFormat="1">
      <c r="A277" s="1044">
        <v>10</v>
      </c>
      <c r="B277" s="252" t="s">
        <v>3657</v>
      </c>
      <c r="C277" s="296" t="s">
        <v>5341</v>
      </c>
      <c r="D277" s="252">
        <v>18.45</v>
      </c>
      <c r="E277" s="296" t="s">
        <v>3658</v>
      </c>
      <c r="F277" s="407">
        <v>1.85</v>
      </c>
    </row>
    <row r="278" spans="1:6" s="1046" customFormat="1">
      <c r="A278" s="252">
        <v>0.25</v>
      </c>
      <c r="B278" s="252" t="s">
        <v>1432</v>
      </c>
      <c r="C278" s="296" t="s">
        <v>5342</v>
      </c>
      <c r="D278" s="252">
        <v>3.6</v>
      </c>
      <c r="E278" s="296" t="s">
        <v>1398</v>
      </c>
      <c r="F278" s="407">
        <v>1</v>
      </c>
    </row>
    <row r="279" spans="1:6" s="1046" customFormat="1">
      <c r="A279" s="252"/>
      <c r="B279" s="252"/>
      <c r="C279" s="296"/>
      <c r="D279" s="252" t="s">
        <v>3659</v>
      </c>
      <c r="E279" s="296"/>
      <c r="F279" s="407">
        <v>156.05000000000001</v>
      </c>
    </row>
    <row r="280" spans="1:6" s="1046" customFormat="1">
      <c r="A280" s="252"/>
      <c r="B280" s="252"/>
      <c r="C280" s="296"/>
      <c r="D280" s="252"/>
      <c r="E280" s="296"/>
      <c r="F280" s="407"/>
    </row>
    <row r="281" spans="1:6" s="1046" customFormat="1">
      <c r="A281" s="252"/>
      <c r="B281" s="252"/>
      <c r="C281" s="358" t="s">
        <v>463</v>
      </c>
      <c r="D281" s="252" t="s">
        <v>3660</v>
      </c>
      <c r="E281" s="296" t="s">
        <v>3660</v>
      </c>
      <c r="F281" s="407" t="s">
        <v>3661</v>
      </c>
    </row>
    <row r="282" spans="1:6" s="1046" customFormat="1">
      <c r="A282" s="252"/>
      <c r="B282" s="252"/>
      <c r="C282" s="296"/>
      <c r="D282" s="252">
        <v>331</v>
      </c>
      <c r="E282" s="296">
        <v>331</v>
      </c>
      <c r="F282" s="407">
        <v>283</v>
      </c>
    </row>
    <row r="283" spans="1:6" s="1046" customFormat="1">
      <c r="A283" s="252"/>
      <c r="B283" s="252"/>
      <c r="C283" s="296" t="s">
        <v>3662</v>
      </c>
      <c r="D283" s="252">
        <v>156.05000000000001</v>
      </c>
      <c r="E283" s="296">
        <v>156.05000000000001</v>
      </c>
      <c r="F283" s="407">
        <v>156.05000000000001</v>
      </c>
    </row>
    <row r="284" spans="1:6" s="1046" customFormat="1">
      <c r="A284" s="252"/>
      <c r="B284" s="252"/>
      <c r="C284" s="296" t="s">
        <v>1822</v>
      </c>
      <c r="D284" s="252">
        <v>487.05</v>
      </c>
      <c r="E284" s="296">
        <v>487.05</v>
      </c>
      <c r="F284" s="407">
        <v>439.05</v>
      </c>
    </row>
    <row r="285" spans="1:6" s="1046" customFormat="1">
      <c r="A285" s="356"/>
      <c r="B285" s="252"/>
      <c r="C285" s="296"/>
      <c r="D285" s="288">
        <v>488</v>
      </c>
      <c r="E285" s="296">
        <v>488</v>
      </c>
      <c r="F285" s="1080">
        <v>440</v>
      </c>
    </row>
    <row r="286" spans="1:6" s="1046" customFormat="1">
      <c r="A286" s="252"/>
      <c r="B286" s="252"/>
      <c r="C286" s="296"/>
      <c r="D286" s="252"/>
      <c r="E286" s="296"/>
      <c r="F286" s="407"/>
    </row>
    <row r="287" spans="1:6" s="1046" customFormat="1">
      <c r="A287" s="252">
        <v>57</v>
      </c>
      <c r="B287" s="252" t="s">
        <v>2251</v>
      </c>
      <c r="C287" s="296" t="s">
        <v>6557</v>
      </c>
      <c r="D287" s="252"/>
      <c r="E287" s="296"/>
      <c r="F287" s="407"/>
    </row>
    <row r="288" spans="1:6" s="1046" customFormat="1">
      <c r="A288" s="252"/>
      <c r="B288" s="252"/>
      <c r="C288" s="296" t="s">
        <v>201</v>
      </c>
      <c r="D288" s="252"/>
      <c r="E288" s="296"/>
      <c r="F288" s="407"/>
    </row>
    <row r="289" spans="1:6" s="1046" customFormat="1">
      <c r="A289" s="252"/>
      <c r="B289" s="252"/>
      <c r="C289" s="296" t="s">
        <v>1772</v>
      </c>
      <c r="D289" s="252"/>
      <c r="E289" s="296"/>
      <c r="F289" s="634"/>
    </row>
    <row r="290" spans="1:6" s="1046" customFormat="1">
      <c r="A290" s="252"/>
      <c r="B290" s="252"/>
      <c r="C290" s="296" t="s">
        <v>1586</v>
      </c>
      <c r="D290" s="252"/>
      <c r="E290" s="296"/>
      <c r="F290" s="634"/>
    </row>
    <row r="291" spans="1:6" s="1046" customFormat="1" ht="16.5" thickBot="1">
      <c r="A291" s="252">
        <v>1</v>
      </c>
      <c r="B291" s="252" t="s">
        <v>783</v>
      </c>
      <c r="C291" s="296" t="s">
        <v>1122</v>
      </c>
      <c r="D291" s="252">
        <v>3090</v>
      </c>
      <c r="E291" s="296" t="s">
        <v>783</v>
      </c>
      <c r="F291" s="407">
        <v>3090</v>
      </c>
    </row>
    <row r="292" spans="1:6" s="1046" customFormat="1" ht="16.5" thickTop="1">
      <c r="A292" s="252"/>
      <c r="B292" s="252"/>
      <c r="C292" s="296" t="s">
        <v>1161</v>
      </c>
      <c r="D292" s="252"/>
      <c r="E292" s="296"/>
      <c r="F292" s="1047"/>
    </row>
    <row r="293" spans="1:6" s="1046" customFormat="1" ht="16.5" thickBot="1">
      <c r="A293" s="252">
        <v>1</v>
      </c>
      <c r="B293" s="252" t="s">
        <v>868</v>
      </c>
      <c r="C293" s="252" t="s">
        <v>2009</v>
      </c>
      <c r="D293" s="252">
        <v>999</v>
      </c>
      <c r="E293" s="296" t="s">
        <v>868</v>
      </c>
      <c r="F293" s="1048">
        <v>999</v>
      </c>
    </row>
    <row r="294" spans="1:6" s="1046" customFormat="1" ht="16.5" thickTop="1">
      <c r="A294" s="252">
        <v>2</v>
      </c>
      <c r="B294" s="252" t="s">
        <v>868</v>
      </c>
      <c r="C294" s="252" t="s">
        <v>2103</v>
      </c>
      <c r="D294" s="252">
        <v>866</v>
      </c>
      <c r="E294" s="252" t="s">
        <v>868</v>
      </c>
      <c r="F294" s="407">
        <v>1732</v>
      </c>
    </row>
    <row r="295" spans="1:6" s="1046" customFormat="1">
      <c r="A295" s="1044">
        <v>1</v>
      </c>
      <c r="B295" s="252" t="s">
        <v>868</v>
      </c>
      <c r="C295" s="296" t="s">
        <v>320</v>
      </c>
      <c r="D295" s="252">
        <v>534</v>
      </c>
      <c r="E295" s="296" t="s">
        <v>868</v>
      </c>
      <c r="F295" s="407">
        <v>534</v>
      </c>
    </row>
    <row r="296" spans="1:6" s="1046" customFormat="1">
      <c r="A296" s="252"/>
      <c r="B296" s="252"/>
      <c r="C296" s="296" t="s">
        <v>713</v>
      </c>
      <c r="D296" s="252"/>
      <c r="E296" s="296"/>
      <c r="F296" s="407"/>
    </row>
    <row r="297" spans="1:6" s="1046" customFormat="1">
      <c r="A297" s="252">
        <v>0.5</v>
      </c>
      <c r="B297" s="252" t="s">
        <v>868</v>
      </c>
      <c r="C297" s="296" t="s">
        <v>2103</v>
      </c>
      <c r="D297" s="252">
        <v>866</v>
      </c>
      <c r="E297" s="296" t="s">
        <v>868</v>
      </c>
      <c r="F297" s="407">
        <v>433</v>
      </c>
    </row>
    <row r="298" spans="1:6" s="1046" customFormat="1">
      <c r="A298" s="252">
        <v>0.5</v>
      </c>
      <c r="B298" s="252" t="s">
        <v>868</v>
      </c>
      <c r="C298" s="296" t="s">
        <v>1902</v>
      </c>
      <c r="D298" s="252">
        <v>651</v>
      </c>
      <c r="E298" s="296" t="s">
        <v>868</v>
      </c>
      <c r="F298" s="407">
        <v>325.5</v>
      </c>
    </row>
    <row r="299" spans="1:6" s="1046" customFormat="1">
      <c r="A299" s="252"/>
      <c r="B299" s="252"/>
      <c r="C299" s="358" t="s">
        <v>4235</v>
      </c>
      <c r="D299" s="252">
        <v>0</v>
      </c>
      <c r="E299" s="296"/>
      <c r="F299" s="407">
        <v>-164</v>
      </c>
    </row>
    <row r="300" spans="1:6" s="1046" customFormat="1">
      <c r="A300" s="252"/>
      <c r="B300" s="252"/>
      <c r="C300" s="296" t="s">
        <v>4236</v>
      </c>
      <c r="D300" s="252"/>
      <c r="E300" s="296"/>
      <c r="F300" s="407">
        <v>134.1</v>
      </c>
    </row>
    <row r="301" spans="1:6" s="1046" customFormat="1">
      <c r="A301" s="356"/>
      <c r="B301" s="252" t="s">
        <v>449</v>
      </c>
      <c r="C301" s="296" t="s">
        <v>450</v>
      </c>
      <c r="D301" s="252"/>
      <c r="E301" s="296" t="s">
        <v>449</v>
      </c>
      <c r="F301" s="407">
        <v>0.7</v>
      </c>
    </row>
    <row r="302" spans="1:6" s="1046" customFormat="1">
      <c r="A302" s="252"/>
      <c r="B302" s="252"/>
      <c r="C302" s="296" t="s">
        <v>1751</v>
      </c>
      <c r="D302" s="252"/>
      <c r="E302" s="296"/>
      <c r="F302" s="407"/>
    </row>
    <row r="303" spans="1:6" s="1046" customFormat="1">
      <c r="A303" s="252"/>
      <c r="B303" s="252"/>
      <c r="C303" s="296"/>
      <c r="D303" s="252"/>
      <c r="E303" s="296"/>
      <c r="F303" s="1080">
        <v>7084.3</v>
      </c>
    </row>
    <row r="304" spans="1:6" s="1046" customFormat="1">
      <c r="A304" s="252" t="s">
        <v>975</v>
      </c>
      <c r="B304" s="252"/>
      <c r="C304" s="296"/>
      <c r="D304" s="252"/>
      <c r="E304" s="296"/>
      <c r="F304" s="407"/>
    </row>
    <row r="305" spans="1:6" s="1046" customFormat="1">
      <c r="A305" s="356" t="s">
        <v>1140</v>
      </c>
      <c r="B305" s="252" t="s">
        <v>2251</v>
      </c>
      <c r="C305" s="296" t="s">
        <v>81</v>
      </c>
      <c r="D305" s="252"/>
      <c r="E305" s="296"/>
      <c r="F305" s="407"/>
    </row>
    <row r="306" spans="1:6" s="1046" customFormat="1">
      <c r="A306" s="252"/>
      <c r="B306" s="252"/>
      <c r="C306" s="296" t="s">
        <v>1102</v>
      </c>
      <c r="D306" s="252"/>
      <c r="E306" s="296"/>
      <c r="F306" s="407"/>
    </row>
    <row r="307" spans="1:6" s="1046" customFormat="1">
      <c r="A307" s="252"/>
      <c r="B307" s="252"/>
      <c r="C307" s="296" t="s">
        <v>1103</v>
      </c>
      <c r="D307" s="252"/>
      <c r="E307" s="296"/>
      <c r="F307" s="407"/>
    </row>
    <row r="308" spans="1:6" s="1046" customFormat="1">
      <c r="A308" s="252"/>
      <c r="B308" s="252"/>
      <c r="C308" s="296" t="s">
        <v>1104</v>
      </c>
      <c r="D308" s="252"/>
      <c r="E308" s="296"/>
      <c r="F308" s="634"/>
    </row>
    <row r="309" spans="1:6" s="1046" customFormat="1">
      <c r="A309" s="252"/>
      <c r="B309" s="252"/>
      <c r="C309" s="296" t="s">
        <v>1586</v>
      </c>
      <c r="D309" s="252"/>
      <c r="E309" s="296"/>
      <c r="F309" s="634"/>
    </row>
    <row r="310" spans="1:6" s="1046" customFormat="1">
      <c r="A310" s="252">
        <v>1</v>
      </c>
      <c r="B310" s="252" t="s">
        <v>868</v>
      </c>
      <c r="C310" s="296" t="s">
        <v>712</v>
      </c>
      <c r="D310" s="252">
        <v>1201</v>
      </c>
      <c r="E310" s="296" t="s">
        <v>868</v>
      </c>
      <c r="F310" s="634">
        <v>1201</v>
      </c>
    </row>
    <row r="311" spans="1:6" s="1046" customFormat="1">
      <c r="A311" s="252">
        <v>0.65</v>
      </c>
      <c r="B311" s="252" t="s">
        <v>869</v>
      </c>
      <c r="C311" s="296" t="s">
        <v>250</v>
      </c>
      <c r="D311" s="252">
        <v>224.1</v>
      </c>
      <c r="E311" s="296" t="s">
        <v>869</v>
      </c>
      <c r="F311" s="634">
        <v>145.66999999999999</v>
      </c>
    </row>
    <row r="312" spans="1:6" s="1046" customFormat="1">
      <c r="A312" s="252">
        <v>0.56999999999999995</v>
      </c>
      <c r="B312" s="252" t="s">
        <v>869</v>
      </c>
      <c r="C312" s="296" t="s">
        <v>251</v>
      </c>
      <c r="D312" s="252">
        <v>38.950000000000003</v>
      </c>
      <c r="E312" s="296" t="s">
        <v>869</v>
      </c>
      <c r="F312" s="1049">
        <v>22.2</v>
      </c>
    </row>
    <row r="313" spans="1:6" s="1046" customFormat="1">
      <c r="A313" s="252">
        <v>8.1000000000000003E-2</v>
      </c>
      <c r="B313" s="252" t="s">
        <v>869</v>
      </c>
      <c r="C313" s="296" t="s">
        <v>252</v>
      </c>
      <c r="D313" s="252">
        <v>4047</v>
      </c>
      <c r="E313" s="296" t="s">
        <v>869</v>
      </c>
      <c r="F313" s="1050">
        <v>327.81</v>
      </c>
    </row>
    <row r="314" spans="1:6" s="1046" customFormat="1">
      <c r="A314" s="252">
        <v>1</v>
      </c>
      <c r="B314" s="252" t="s">
        <v>868</v>
      </c>
      <c r="C314" s="252" t="s">
        <v>2103</v>
      </c>
      <c r="D314" s="252">
        <v>866</v>
      </c>
      <c r="E314" s="296" t="s">
        <v>868</v>
      </c>
      <c r="F314" s="1050">
        <v>866</v>
      </c>
    </row>
    <row r="315" spans="1:6" s="1046" customFormat="1">
      <c r="A315" s="252">
        <v>0.5</v>
      </c>
      <c r="B315" s="252" t="s">
        <v>868</v>
      </c>
      <c r="C315" s="252" t="s">
        <v>1712</v>
      </c>
      <c r="D315" s="252">
        <v>932</v>
      </c>
      <c r="E315" s="252" t="s">
        <v>868</v>
      </c>
      <c r="F315" s="407">
        <v>466</v>
      </c>
    </row>
    <row r="316" spans="1:6" s="1046" customFormat="1">
      <c r="A316" s="369">
        <v>0.5</v>
      </c>
      <c r="B316" s="252" t="s">
        <v>868</v>
      </c>
      <c r="C316" s="296" t="s">
        <v>1902</v>
      </c>
      <c r="D316" s="252">
        <v>651</v>
      </c>
      <c r="E316" s="296" t="s">
        <v>868</v>
      </c>
      <c r="F316" s="407">
        <v>325.5</v>
      </c>
    </row>
    <row r="317" spans="1:6" s="1046" customFormat="1">
      <c r="A317" s="252"/>
      <c r="B317" s="252"/>
      <c r="C317" s="296" t="s">
        <v>4235</v>
      </c>
      <c r="D317" s="252" t="s">
        <v>6558</v>
      </c>
      <c r="E317" s="296"/>
      <c r="F317" s="407">
        <v>-164</v>
      </c>
    </row>
    <row r="318" spans="1:6" s="1046" customFormat="1">
      <c r="A318" s="252"/>
      <c r="B318" s="252"/>
      <c r="C318" s="296" t="s">
        <v>4236</v>
      </c>
      <c r="D318" s="252"/>
      <c r="E318" s="296"/>
      <c r="F318" s="407">
        <v>134.1</v>
      </c>
    </row>
    <row r="319" spans="1:6" s="1046" customFormat="1">
      <c r="A319" s="252"/>
      <c r="B319" s="252" t="s">
        <v>657</v>
      </c>
      <c r="C319" s="358" t="s">
        <v>2271</v>
      </c>
      <c r="D319" s="252"/>
      <c r="E319" s="296"/>
      <c r="F319" s="407">
        <v>0.32</v>
      </c>
    </row>
    <row r="320" spans="1:6" s="1046" customFormat="1">
      <c r="A320" s="500"/>
      <c r="B320" s="500"/>
      <c r="C320" s="1042" t="s">
        <v>1751</v>
      </c>
      <c r="D320" s="500"/>
      <c r="E320" s="312"/>
      <c r="F320" s="1081">
        <v>3324.6</v>
      </c>
    </row>
    <row r="321" spans="1:6" s="1046" customFormat="1">
      <c r="A321" s="252"/>
      <c r="B321" s="252"/>
      <c r="C321" s="296"/>
      <c r="D321" s="500"/>
      <c r="E321" s="296"/>
      <c r="F321" s="407"/>
    </row>
    <row r="322" spans="1:6" s="1046" customFormat="1">
      <c r="A322" s="252"/>
      <c r="B322" s="252"/>
      <c r="C322" s="296"/>
      <c r="D322" s="500"/>
      <c r="E322" s="296"/>
      <c r="F322" s="407"/>
    </row>
    <row r="323" spans="1:6" s="1046" customFormat="1" ht="189">
      <c r="A323" s="252"/>
      <c r="B323" s="252"/>
      <c r="C323" s="389" t="s">
        <v>2385</v>
      </c>
      <c r="D323" s="500"/>
      <c r="E323" s="296"/>
      <c r="F323" s="407"/>
    </row>
    <row r="324" spans="1:6" s="1046" customFormat="1">
      <c r="A324" s="252">
        <v>90</v>
      </c>
      <c r="B324" s="252" t="s">
        <v>826</v>
      </c>
      <c r="C324" s="296" t="s">
        <v>5369</v>
      </c>
      <c r="D324" s="500">
        <v>16.55</v>
      </c>
      <c r="E324" s="296" t="s">
        <v>2539</v>
      </c>
      <c r="F324" s="407">
        <v>1489.5</v>
      </c>
    </row>
    <row r="325" spans="1:6" s="1046" customFormat="1">
      <c r="A325" s="252">
        <v>45</v>
      </c>
      <c r="B325" s="252" t="s">
        <v>826</v>
      </c>
      <c r="C325" s="296" t="s">
        <v>5370</v>
      </c>
      <c r="D325" s="500">
        <v>20</v>
      </c>
      <c r="E325" s="296" t="s">
        <v>2365</v>
      </c>
      <c r="F325" s="407">
        <v>900</v>
      </c>
    </row>
    <row r="326" spans="1:6" s="1046" customFormat="1">
      <c r="A326" s="252">
        <v>20</v>
      </c>
      <c r="B326" s="252" t="s">
        <v>1394</v>
      </c>
      <c r="C326" s="296" t="s">
        <v>5371</v>
      </c>
      <c r="D326" s="500">
        <v>3.15</v>
      </c>
      <c r="E326" s="296" t="s">
        <v>1394</v>
      </c>
      <c r="F326" s="407">
        <v>63</v>
      </c>
    </row>
    <row r="327" spans="1:6" s="1046" customFormat="1">
      <c r="A327" s="252">
        <v>10</v>
      </c>
      <c r="B327" s="252" t="s">
        <v>1394</v>
      </c>
      <c r="C327" s="296" t="s">
        <v>5906</v>
      </c>
      <c r="D327" s="500">
        <v>1.34</v>
      </c>
      <c r="E327" s="296" t="s">
        <v>1394</v>
      </c>
      <c r="F327" s="407">
        <v>13.4</v>
      </c>
    </row>
    <row r="328" spans="1:6" s="1046" customFormat="1">
      <c r="A328" s="252">
        <v>1</v>
      </c>
      <c r="B328" s="252" t="s">
        <v>1394</v>
      </c>
      <c r="C328" s="296" t="s">
        <v>5372</v>
      </c>
      <c r="D328" s="500">
        <v>70.7</v>
      </c>
      <c r="E328" s="296" t="s">
        <v>1394</v>
      </c>
      <c r="F328" s="407">
        <v>70.7</v>
      </c>
    </row>
    <row r="329" spans="1:6" s="1046" customFormat="1">
      <c r="A329" s="252"/>
      <c r="B329" s="252"/>
      <c r="C329" s="296"/>
      <c r="D329" s="252"/>
      <c r="E329" s="296"/>
      <c r="F329" s="407"/>
    </row>
    <row r="330" spans="1:6" s="1046" customFormat="1">
      <c r="A330" s="252">
        <v>1.4999999999999999E-2</v>
      </c>
      <c r="B330" s="252" t="s">
        <v>2283</v>
      </c>
      <c r="C330" s="296" t="s">
        <v>5907</v>
      </c>
      <c r="D330" s="252">
        <v>661</v>
      </c>
      <c r="E330" s="296" t="s">
        <v>2283</v>
      </c>
      <c r="F330" s="407">
        <v>9.92</v>
      </c>
    </row>
    <row r="331" spans="1:6" s="1046" customFormat="1">
      <c r="A331" s="252">
        <v>10</v>
      </c>
      <c r="B331" s="252" t="s">
        <v>1394</v>
      </c>
      <c r="C331" s="296" t="s">
        <v>5908</v>
      </c>
      <c r="D331" s="252">
        <v>16.21</v>
      </c>
      <c r="E331" s="296" t="s">
        <v>1394</v>
      </c>
      <c r="F331" s="407">
        <v>162.1</v>
      </c>
    </row>
    <row r="332" spans="1:6" s="1046" customFormat="1">
      <c r="A332" s="252">
        <v>10</v>
      </c>
      <c r="B332" s="252" t="s">
        <v>1394</v>
      </c>
      <c r="C332" s="252" t="s">
        <v>5374</v>
      </c>
      <c r="D332" s="252">
        <v>13.8</v>
      </c>
      <c r="E332" s="296" t="s">
        <v>1394</v>
      </c>
      <c r="F332" s="407">
        <v>138</v>
      </c>
    </row>
    <row r="333" spans="1:6" s="1046" customFormat="1">
      <c r="A333" s="1044">
        <v>10</v>
      </c>
      <c r="B333" s="252" t="s">
        <v>1394</v>
      </c>
      <c r="C333" s="296" t="s">
        <v>5909</v>
      </c>
      <c r="D333" s="252">
        <v>3.6</v>
      </c>
      <c r="E333" s="296" t="s">
        <v>1394</v>
      </c>
      <c r="F333" s="407">
        <v>36</v>
      </c>
    </row>
    <row r="334" spans="1:6" s="1046" customFormat="1">
      <c r="A334" s="252">
        <v>1.25</v>
      </c>
      <c r="B334" s="252" t="s">
        <v>2632</v>
      </c>
      <c r="C334" s="296" t="s">
        <v>390</v>
      </c>
      <c r="D334" s="252">
        <v>302</v>
      </c>
      <c r="E334" s="296" t="s">
        <v>2632</v>
      </c>
      <c r="F334" s="407">
        <v>377.5</v>
      </c>
    </row>
    <row r="335" spans="1:6" s="1046" customFormat="1">
      <c r="A335" s="252">
        <v>10</v>
      </c>
      <c r="B335" s="252" t="s">
        <v>1394</v>
      </c>
      <c r="C335" s="358" t="s">
        <v>4609</v>
      </c>
      <c r="D335" s="252">
        <v>70.7</v>
      </c>
      <c r="E335" s="296" t="s">
        <v>1394</v>
      </c>
      <c r="F335" s="407">
        <v>707</v>
      </c>
    </row>
    <row r="336" spans="1:6" s="1046" customFormat="1">
      <c r="A336" s="252">
        <v>0.15</v>
      </c>
      <c r="B336" s="252" t="s">
        <v>2283</v>
      </c>
      <c r="C336" s="296" t="s">
        <v>4610</v>
      </c>
      <c r="D336" s="252">
        <v>661</v>
      </c>
      <c r="E336" s="296" t="s">
        <v>2283</v>
      </c>
      <c r="F336" s="407">
        <v>99.15</v>
      </c>
    </row>
    <row r="337" spans="1:6" s="1046" customFormat="1">
      <c r="A337" s="252">
        <v>45</v>
      </c>
      <c r="B337" s="252" t="s">
        <v>826</v>
      </c>
      <c r="C337" s="296" t="s">
        <v>4608</v>
      </c>
      <c r="D337" s="252">
        <v>16.55</v>
      </c>
      <c r="E337" s="296" t="s">
        <v>3290</v>
      </c>
      <c r="F337" s="407">
        <v>744.75</v>
      </c>
    </row>
    <row r="338" spans="1:6" s="1046" customFormat="1">
      <c r="A338" s="252" t="s">
        <v>657</v>
      </c>
      <c r="B338" s="252"/>
      <c r="C338" s="252" t="s">
        <v>915</v>
      </c>
      <c r="D338" s="252"/>
      <c r="E338" s="296" t="s">
        <v>657</v>
      </c>
      <c r="F338" s="407">
        <v>12075</v>
      </c>
    </row>
    <row r="339" spans="1:6" s="1046" customFormat="1">
      <c r="A339" s="252" t="s">
        <v>657</v>
      </c>
      <c r="B339" s="252"/>
      <c r="C339" s="296" t="s">
        <v>2327</v>
      </c>
      <c r="D339" s="252"/>
      <c r="E339" s="296" t="s">
        <v>657</v>
      </c>
      <c r="F339" s="407">
        <v>34.979999999999997</v>
      </c>
    </row>
    <row r="340" spans="1:6" s="1046" customFormat="1">
      <c r="A340" s="252"/>
      <c r="B340" s="252"/>
      <c r="C340" s="252" t="s">
        <v>3293</v>
      </c>
      <c r="D340" s="252"/>
      <c r="E340" s="296"/>
      <c r="F340" s="407">
        <v>16921</v>
      </c>
    </row>
    <row r="341" spans="1:6" s="1046" customFormat="1">
      <c r="A341" s="1044"/>
      <c r="B341" s="252"/>
      <c r="C341" s="296" t="s">
        <v>3295</v>
      </c>
      <c r="D341" s="252"/>
      <c r="E341" s="296"/>
      <c r="F341" s="1080">
        <v>1692.1</v>
      </c>
    </row>
    <row r="342" spans="1:6" s="1046" customFormat="1">
      <c r="A342" s="252"/>
      <c r="B342" s="252"/>
      <c r="C342" s="358"/>
      <c r="D342" s="252"/>
      <c r="E342" s="296"/>
      <c r="F342" s="407"/>
    </row>
    <row r="343" spans="1:6" s="1046" customFormat="1">
      <c r="A343" s="252"/>
      <c r="B343" s="252"/>
      <c r="C343" s="296" t="s">
        <v>3297</v>
      </c>
      <c r="D343" s="252"/>
      <c r="E343" s="296"/>
      <c r="F343" s="407"/>
    </row>
    <row r="344" spans="1:6" s="1046" customFormat="1">
      <c r="A344" s="252"/>
      <c r="B344" s="252"/>
      <c r="C344" s="296"/>
      <c r="D344" s="252"/>
      <c r="E344" s="296"/>
      <c r="F344" s="407"/>
    </row>
    <row r="345" spans="1:6" s="1046" customFormat="1">
      <c r="A345" s="252"/>
      <c r="B345" s="252"/>
      <c r="C345" s="296" t="s">
        <v>3373</v>
      </c>
      <c r="D345" s="252"/>
      <c r="E345" s="296"/>
      <c r="F345" s="407"/>
    </row>
    <row r="346" spans="1:6" s="1046" customFormat="1">
      <c r="A346" s="252"/>
      <c r="B346" s="252"/>
      <c r="C346" s="296"/>
      <c r="D346" s="252"/>
      <c r="E346" s="296"/>
      <c r="F346" s="407"/>
    </row>
    <row r="347" spans="1:6" s="1046" customFormat="1">
      <c r="A347" s="252">
        <v>1</v>
      </c>
      <c r="B347" s="252" t="s">
        <v>1394</v>
      </c>
      <c r="C347" s="296" t="s">
        <v>5910</v>
      </c>
      <c r="D347" s="252">
        <v>947</v>
      </c>
      <c r="E347" s="296" t="s">
        <v>1394</v>
      </c>
      <c r="F347" s="407">
        <v>947</v>
      </c>
    </row>
    <row r="348" spans="1:6" s="1046" customFormat="1">
      <c r="A348" s="252">
        <v>2</v>
      </c>
      <c r="B348" s="252" t="s">
        <v>1394</v>
      </c>
      <c r="C348" s="252" t="s">
        <v>5911</v>
      </c>
      <c r="D348" s="252">
        <v>826</v>
      </c>
      <c r="E348" s="296" t="s">
        <v>1394</v>
      </c>
      <c r="F348" s="407">
        <v>1652</v>
      </c>
    </row>
    <row r="349" spans="1:6" s="1046" customFormat="1">
      <c r="A349" s="252">
        <v>3</v>
      </c>
      <c r="B349" s="252" t="s">
        <v>1394</v>
      </c>
      <c r="C349" s="296" t="s">
        <v>5912</v>
      </c>
      <c r="D349" s="252">
        <v>820</v>
      </c>
      <c r="E349" s="296" t="s">
        <v>1394</v>
      </c>
      <c r="F349" s="407">
        <v>2460</v>
      </c>
    </row>
    <row r="350" spans="1:6" s="1046" customFormat="1">
      <c r="A350" s="252">
        <v>4</v>
      </c>
      <c r="B350" s="252" t="s">
        <v>1394</v>
      </c>
      <c r="C350" s="252" t="s">
        <v>5913</v>
      </c>
      <c r="D350" s="252">
        <v>644</v>
      </c>
      <c r="E350" s="296" t="s">
        <v>1394</v>
      </c>
      <c r="F350" s="407">
        <v>2576</v>
      </c>
    </row>
    <row r="351" spans="1:6" s="1046" customFormat="1">
      <c r="A351" s="252"/>
      <c r="B351" s="252"/>
      <c r="C351" s="1044" t="s">
        <v>3077</v>
      </c>
      <c r="D351" s="252"/>
      <c r="E351" s="296"/>
      <c r="F351" s="407"/>
    </row>
    <row r="352" spans="1:6" s="1046" customFormat="1">
      <c r="A352" s="252">
        <v>2</v>
      </c>
      <c r="B352" s="252" t="s">
        <v>1394</v>
      </c>
      <c r="C352" s="252" t="s">
        <v>6559</v>
      </c>
      <c r="D352" s="252">
        <v>932</v>
      </c>
      <c r="E352" s="296" t="s">
        <v>1394</v>
      </c>
      <c r="F352" s="407">
        <v>1864</v>
      </c>
    </row>
    <row r="353" spans="1:6" s="1046" customFormat="1">
      <c r="A353" s="1044">
        <v>4</v>
      </c>
      <c r="B353" s="252" t="s">
        <v>1394</v>
      </c>
      <c r="C353" s="296" t="s">
        <v>5913</v>
      </c>
      <c r="D353" s="252">
        <v>644</v>
      </c>
      <c r="E353" s="296" t="s">
        <v>1394</v>
      </c>
      <c r="F353" s="407">
        <v>2576</v>
      </c>
    </row>
    <row r="354" spans="1:6" s="1046" customFormat="1">
      <c r="A354" s="252"/>
      <c r="B354" s="252"/>
      <c r="C354" s="358"/>
      <c r="D354" s="252"/>
      <c r="E354" s="296"/>
      <c r="F354" s="407">
        <v>12075</v>
      </c>
    </row>
    <row r="355" spans="1:6" s="1046" customFormat="1">
      <c r="A355" s="252"/>
      <c r="B355" s="252"/>
      <c r="C355" s="296"/>
      <c r="D355" s="252"/>
      <c r="E355" s="296"/>
      <c r="F355" s="407"/>
    </row>
    <row r="356" spans="1:6" s="1046" customFormat="1">
      <c r="A356" s="252"/>
      <c r="B356" s="252"/>
      <c r="C356" s="296" t="s">
        <v>3078</v>
      </c>
      <c r="D356" s="252"/>
      <c r="E356" s="296"/>
      <c r="F356" s="407"/>
    </row>
    <row r="357" spans="1:6" s="1046" customFormat="1">
      <c r="A357" s="252"/>
      <c r="B357" s="252"/>
      <c r="C357" s="296" t="s">
        <v>3381</v>
      </c>
      <c r="D357" s="252"/>
      <c r="E357" s="296"/>
      <c r="F357" s="407"/>
    </row>
    <row r="358" spans="1:6" s="1046" customFormat="1">
      <c r="A358" s="252"/>
      <c r="B358" s="252"/>
      <c r="C358" s="296"/>
      <c r="D358" s="252"/>
      <c r="E358" s="296"/>
      <c r="F358" s="407"/>
    </row>
    <row r="359" spans="1:6" s="1046" customFormat="1" ht="204.75">
      <c r="A359" s="252"/>
      <c r="B359" s="252"/>
      <c r="C359" s="389" t="s">
        <v>2481</v>
      </c>
      <c r="D359" s="252"/>
      <c r="E359" s="296"/>
      <c r="F359" s="407"/>
    </row>
    <row r="360" spans="1:6" s="1046" customFormat="1">
      <c r="A360" s="252"/>
      <c r="B360" s="252"/>
      <c r="C360" s="252" t="s">
        <v>2446</v>
      </c>
      <c r="D360" s="252"/>
      <c r="E360" s="296"/>
      <c r="F360" s="407">
        <v>16886.02</v>
      </c>
    </row>
    <row r="361" spans="1:6" s="1046" customFormat="1">
      <c r="A361" s="252"/>
      <c r="B361" s="252"/>
      <c r="C361" s="296" t="s">
        <v>2447</v>
      </c>
      <c r="D361" s="252"/>
      <c r="E361" s="296"/>
      <c r="F361" s="407">
        <v>138</v>
      </c>
    </row>
    <row r="362" spans="1:6" s="1046" customFormat="1">
      <c r="A362" s="252"/>
      <c r="B362" s="252"/>
      <c r="C362" s="1044" t="s">
        <v>5914</v>
      </c>
      <c r="D362" s="252"/>
      <c r="E362" s="296"/>
      <c r="F362" s="407">
        <v>166.5</v>
      </c>
    </row>
    <row r="363" spans="1:6" s="1046" customFormat="1">
      <c r="A363" s="252"/>
      <c r="B363" s="252"/>
      <c r="C363" s="1044" t="s">
        <v>2271</v>
      </c>
      <c r="D363" s="252"/>
      <c r="E363" s="296"/>
      <c r="F363" s="407">
        <v>36.479999999999997</v>
      </c>
    </row>
    <row r="364" spans="1:6" s="1046" customFormat="1">
      <c r="A364" s="252"/>
      <c r="B364" s="252"/>
      <c r="C364" s="252" t="s">
        <v>2425</v>
      </c>
      <c r="D364" s="252"/>
      <c r="E364" s="296"/>
      <c r="F364" s="407">
        <v>16951</v>
      </c>
    </row>
    <row r="365" spans="1:6" s="1046" customFormat="1">
      <c r="A365" s="375"/>
      <c r="B365" s="252"/>
      <c r="C365" s="296" t="s">
        <v>2426</v>
      </c>
      <c r="D365" s="252"/>
      <c r="E365" s="296"/>
      <c r="F365" s="1080">
        <v>1695.1</v>
      </c>
    </row>
    <row r="366" spans="1:6" s="1046" customFormat="1">
      <c r="A366" s="252"/>
      <c r="B366" s="252"/>
      <c r="C366" s="358"/>
      <c r="D366" s="252"/>
      <c r="E366" s="296"/>
      <c r="F366" s="407"/>
    </row>
    <row r="367" spans="1:6" s="1046" customFormat="1" ht="173.25">
      <c r="A367" s="252"/>
      <c r="B367" s="252"/>
      <c r="C367" s="389" t="s">
        <v>2769</v>
      </c>
      <c r="D367" s="252"/>
      <c r="E367" s="296"/>
      <c r="F367" s="407"/>
    </row>
    <row r="368" spans="1:6" s="1046" customFormat="1">
      <c r="A368" s="252"/>
      <c r="B368" s="252"/>
      <c r="C368" s="296"/>
      <c r="D368" s="252"/>
      <c r="E368" s="296"/>
      <c r="F368" s="407"/>
    </row>
    <row r="369" spans="1:6" s="1046" customFormat="1">
      <c r="A369" s="252">
        <v>90</v>
      </c>
      <c r="B369" s="252" t="s">
        <v>826</v>
      </c>
      <c r="C369" s="296" t="s">
        <v>5369</v>
      </c>
      <c r="D369" s="252">
        <v>16.55</v>
      </c>
      <c r="E369" s="296" t="s">
        <v>3290</v>
      </c>
      <c r="F369" s="407">
        <v>1489.5</v>
      </c>
    </row>
    <row r="370" spans="1:6" s="1046" customFormat="1">
      <c r="A370" s="252">
        <v>45</v>
      </c>
      <c r="B370" s="252" t="s">
        <v>826</v>
      </c>
      <c r="C370" s="296" t="s">
        <v>5370</v>
      </c>
      <c r="D370" s="252">
        <v>20</v>
      </c>
      <c r="E370" s="296" t="s">
        <v>826</v>
      </c>
      <c r="F370" s="407">
        <v>900</v>
      </c>
    </row>
    <row r="371" spans="1:6" s="1046" customFormat="1">
      <c r="A371" s="252">
        <v>20</v>
      </c>
      <c r="B371" s="252" t="s">
        <v>1394</v>
      </c>
      <c r="C371" s="296" t="s">
        <v>5371</v>
      </c>
      <c r="D371" s="252">
        <v>3.15</v>
      </c>
      <c r="E371" s="296" t="s">
        <v>1394</v>
      </c>
      <c r="F371" s="407">
        <v>63</v>
      </c>
    </row>
    <row r="372" spans="1:6" s="1046" customFormat="1">
      <c r="A372" s="252">
        <v>10</v>
      </c>
      <c r="B372" s="252" t="s">
        <v>1394</v>
      </c>
      <c r="C372" s="252" t="s">
        <v>5906</v>
      </c>
      <c r="D372" s="252">
        <v>1.34</v>
      </c>
      <c r="E372" s="296" t="s">
        <v>1394</v>
      </c>
      <c r="F372" s="407">
        <v>13.4</v>
      </c>
    </row>
    <row r="373" spans="1:6" s="1046" customFormat="1">
      <c r="A373" s="252">
        <v>10</v>
      </c>
      <c r="B373" s="252" t="s">
        <v>1394</v>
      </c>
      <c r="C373" s="296" t="s">
        <v>5909</v>
      </c>
      <c r="D373" s="252">
        <v>3.6</v>
      </c>
      <c r="E373" s="296" t="s">
        <v>1394</v>
      </c>
      <c r="F373" s="407">
        <v>36</v>
      </c>
    </row>
    <row r="374" spans="1:6" s="1046" customFormat="1">
      <c r="A374" s="252">
        <v>10</v>
      </c>
      <c r="B374" s="252" t="s">
        <v>1394</v>
      </c>
      <c r="C374" s="252" t="s">
        <v>5374</v>
      </c>
      <c r="D374" s="252">
        <v>13.8</v>
      </c>
      <c r="E374" s="296" t="s">
        <v>1394</v>
      </c>
      <c r="F374" s="407">
        <v>138</v>
      </c>
    </row>
    <row r="375" spans="1:6" s="1046" customFormat="1">
      <c r="A375" s="252">
        <v>10</v>
      </c>
      <c r="B375" s="252" t="s">
        <v>1394</v>
      </c>
      <c r="C375" s="1044" t="s">
        <v>5908</v>
      </c>
      <c r="D375" s="252">
        <v>16.21</v>
      </c>
      <c r="E375" s="296" t="s">
        <v>1394</v>
      </c>
      <c r="F375" s="407">
        <v>162.1</v>
      </c>
    </row>
    <row r="376" spans="1:6" s="1046" customFormat="1">
      <c r="A376" s="252">
        <v>10</v>
      </c>
      <c r="B376" s="252" t="s">
        <v>1394</v>
      </c>
      <c r="C376" s="252" t="s">
        <v>5376</v>
      </c>
      <c r="D376" s="252">
        <v>115.1</v>
      </c>
      <c r="E376" s="296" t="s">
        <v>1394</v>
      </c>
      <c r="F376" s="407">
        <v>1151</v>
      </c>
    </row>
    <row r="377" spans="1:6" s="1046" customFormat="1">
      <c r="A377" s="1044">
        <v>0.6</v>
      </c>
      <c r="B377" s="252" t="s">
        <v>2283</v>
      </c>
      <c r="C377" s="296" t="s">
        <v>4610</v>
      </c>
      <c r="D377" s="252">
        <v>661</v>
      </c>
      <c r="E377" s="1044" t="s">
        <v>2283</v>
      </c>
      <c r="F377" s="407">
        <v>396.6</v>
      </c>
    </row>
    <row r="378" spans="1:6" s="1046" customFormat="1">
      <c r="A378" s="252">
        <v>1</v>
      </c>
      <c r="B378" s="252" t="s">
        <v>1394</v>
      </c>
      <c r="C378" s="296" t="s">
        <v>2818</v>
      </c>
      <c r="D378" s="252">
        <v>70.7</v>
      </c>
      <c r="E378" s="1044" t="s">
        <v>1394</v>
      </c>
      <c r="F378" s="407">
        <v>70.7</v>
      </c>
    </row>
    <row r="379" spans="1:6" s="1046" customFormat="1">
      <c r="A379" s="252">
        <v>1.4999999999999999E-2</v>
      </c>
      <c r="B379" s="252" t="s">
        <v>2283</v>
      </c>
      <c r="C379" s="296" t="s">
        <v>4610</v>
      </c>
      <c r="D379" s="252">
        <v>661</v>
      </c>
      <c r="E379" s="1044" t="s">
        <v>2283</v>
      </c>
      <c r="F379" s="407">
        <v>9.92</v>
      </c>
    </row>
    <row r="380" spans="1:6" s="1046" customFormat="1">
      <c r="A380" s="252">
        <v>1.25</v>
      </c>
      <c r="B380" s="252" t="s">
        <v>2632</v>
      </c>
      <c r="C380" s="296" t="s">
        <v>390</v>
      </c>
      <c r="D380" s="252">
        <v>302</v>
      </c>
      <c r="E380" s="1044" t="s">
        <v>2632</v>
      </c>
      <c r="F380" s="407">
        <v>377.5</v>
      </c>
    </row>
    <row r="381" spans="1:6" s="1046" customFormat="1">
      <c r="A381" s="252">
        <v>45</v>
      </c>
      <c r="B381" s="252" t="s">
        <v>826</v>
      </c>
      <c r="C381" s="358" t="s">
        <v>4608</v>
      </c>
      <c r="D381" s="252">
        <v>16.55</v>
      </c>
      <c r="E381" s="1044" t="s">
        <v>3290</v>
      </c>
      <c r="F381" s="407">
        <v>744.75</v>
      </c>
    </row>
    <row r="382" spans="1:6" s="1046" customFormat="1">
      <c r="A382" s="252" t="s">
        <v>657</v>
      </c>
      <c r="B382" s="252"/>
      <c r="C382" s="296" t="s">
        <v>915</v>
      </c>
      <c r="D382" s="252"/>
      <c r="E382" s="1044"/>
      <c r="F382" s="407">
        <v>12075</v>
      </c>
    </row>
    <row r="383" spans="1:6" s="1046" customFormat="1">
      <c r="A383" s="252" t="s">
        <v>657</v>
      </c>
      <c r="B383" s="252"/>
      <c r="C383" s="296" t="s">
        <v>2271</v>
      </c>
      <c r="D383" s="252"/>
      <c r="E383" s="1044"/>
      <c r="F383" s="407">
        <v>43.53</v>
      </c>
    </row>
    <row r="384" spans="1:6" s="1046" customFormat="1">
      <c r="A384" s="252"/>
      <c r="B384" s="252"/>
      <c r="C384" s="296" t="s">
        <v>2425</v>
      </c>
      <c r="D384" s="252"/>
      <c r="E384" s="1044"/>
      <c r="F384" s="407">
        <v>17671</v>
      </c>
    </row>
    <row r="385" spans="1:6" s="1046" customFormat="1">
      <c r="A385" s="252"/>
      <c r="B385" s="252"/>
      <c r="C385" s="296" t="s">
        <v>3147</v>
      </c>
      <c r="D385" s="252"/>
      <c r="E385" s="1044"/>
      <c r="F385" s="1080">
        <v>1767.1</v>
      </c>
    </row>
    <row r="386" spans="1:6" s="1046" customFormat="1">
      <c r="A386" s="252"/>
      <c r="B386" s="252"/>
      <c r="C386" s="296" t="s">
        <v>3455</v>
      </c>
      <c r="D386" s="252"/>
      <c r="E386" s="1044"/>
      <c r="F386" s="407"/>
    </row>
    <row r="387" spans="1:6" s="1046" customFormat="1">
      <c r="A387" s="252"/>
      <c r="B387" s="252"/>
      <c r="C387" s="252" t="s">
        <v>2819</v>
      </c>
      <c r="D387" s="252">
        <v>90</v>
      </c>
      <c r="E387" s="1044"/>
      <c r="F387" s="407"/>
    </row>
    <row r="388" spans="1:6" s="1046" customFormat="1">
      <c r="A388" s="1044"/>
      <c r="B388" s="252"/>
      <c r="C388" s="296" t="s">
        <v>2820</v>
      </c>
      <c r="D388" s="252">
        <v>8.2500000000000004E-2</v>
      </c>
      <c r="E388" s="1044"/>
      <c r="F388" s="407"/>
    </row>
    <row r="389" spans="1:6" s="1046" customFormat="1">
      <c r="A389" s="252"/>
      <c r="B389" s="252"/>
      <c r="C389" s="296" t="s">
        <v>6560</v>
      </c>
      <c r="D389" s="252">
        <v>0.13500000000000001</v>
      </c>
      <c r="E389" s="1044"/>
      <c r="F389" s="407">
        <v>147.27000000000001</v>
      </c>
    </row>
    <row r="390" spans="1:6" s="1046" customFormat="1">
      <c r="A390" s="252"/>
      <c r="B390" s="252"/>
      <c r="C390" s="296"/>
      <c r="D390" s="252"/>
      <c r="E390" s="1044"/>
      <c r="F390" s="407"/>
    </row>
    <row r="391" spans="1:6" s="1046" customFormat="1">
      <c r="A391" s="252"/>
      <c r="B391" s="252"/>
      <c r="C391" s="358"/>
      <c r="D391" s="252"/>
      <c r="E391" s="1044"/>
      <c r="F391" s="407"/>
    </row>
    <row r="392" spans="1:6" s="1046" customFormat="1">
      <c r="A392" s="252"/>
      <c r="B392" s="252"/>
      <c r="C392" s="296" t="s">
        <v>2374</v>
      </c>
      <c r="D392" s="252"/>
      <c r="E392" s="296"/>
      <c r="F392" s="407"/>
    </row>
    <row r="393" spans="1:6" s="1046" customFormat="1">
      <c r="A393" s="252"/>
      <c r="B393" s="252"/>
      <c r="C393" s="296"/>
      <c r="D393" s="252"/>
      <c r="E393" s="252"/>
      <c r="F393" s="407"/>
    </row>
    <row r="394" spans="1:6" s="1046" customFormat="1">
      <c r="A394" s="252"/>
      <c r="B394" s="252"/>
      <c r="C394" s="296" t="s">
        <v>5678</v>
      </c>
      <c r="D394" s="252"/>
      <c r="E394" s="252"/>
      <c r="F394" s="407"/>
    </row>
    <row r="395" spans="1:6" s="1046" customFormat="1">
      <c r="A395" s="252"/>
      <c r="B395" s="252"/>
      <c r="C395" s="296"/>
      <c r="D395" s="252"/>
      <c r="E395" s="252"/>
      <c r="F395" s="407"/>
    </row>
    <row r="396" spans="1:6" s="1046" customFormat="1">
      <c r="A396" s="252">
        <v>1</v>
      </c>
      <c r="B396" s="252" t="s">
        <v>1394</v>
      </c>
      <c r="C396" s="296" t="s">
        <v>5926</v>
      </c>
      <c r="D396" s="252">
        <v>1856</v>
      </c>
      <c r="E396" s="1044" t="s">
        <v>1394</v>
      </c>
      <c r="F396" s="407">
        <v>1856</v>
      </c>
    </row>
    <row r="397" spans="1:6" s="1046" customFormat="1">
      <c r="A397" s="252">
        <v>1</v>
      </c>
      <c r="B397" s="252" t="s">
        <v>1394</v>
      </c>
      <c r="C397" s="252" t="s">
        <v>915</v>
      </c>
      <c r="D397" s="252">
        <v>2265.67</v>
      </c>
      <c r="E397" s="1044" t="s">
        <v>1394</v>
      </c>
      <c r="F397" s="407">
        <v>2265.67</v>
      </c>
    </row>
    <row r="398" spans="1:6" s="1046" customFormat="1">
      <c r="A398" s="252"/>
      <c r="B398" s="252"/>
      <c r="C398" s="296" t="s">
        <v>2271</v>
      </c>
      <c r="D398" s="252"/>
      <c r="E398" s="1044"/>
      <c r="F398" s="407"/>
    </row>
    <row r="399" spans="1:6" s="1046" customFormat="1">
      <c r="A399" s="252"/>
      <c r="B399" s="252"/>
      <c r="C399" s="252" t="s">
        <v>1062</v>
      </c>
      <c r="D399" s="252"/>
      <c r="E399" s="1044"/>
      <c r="F399" s="1080">
        <v>4121.67</v>
      </c>
    </row>
    <row r="400" spans="1:6" s="1046" customFormat="1">
      <c r="A400" s="252"/>
      <c r="B400" s="252"/>
      <c r="C400" s="296"/>
      <c r="D400" s="252"/>
      <c r="E400" s="1044"/>
      <c r="F400" s="407"/>
    </row>
    <row r="401" spans="1:6" s="1046" customFormat="1">
      <c r="A401" s="1044"/>
      <c r="B401" s="252"/>
      <c r="C401" s="296"/>
      <c r="D401" s="252"/>
      <c r="E401" s="1044"/>
      <c r="F401" s="407"/>
    </row>
    <row r="402" spans="1:6" s="1046" customFormat="1">
      <c r="A402" s="252"/>
      <c r="B402" s="252"/>
      <c r="C402" s="296" t="s">
        <v>4641</v>
      </c>
      <c r="D402" s="252"/>
      <c r="E402" s="1044"/>
      <c r="F402" s="407"/>
    </row>
    <row r="403" spans="1:6" s="1046" customFormat="1">
      <c r="A403" s="252"/>
      <c r="B403" s="252"/>
      <c r="C403" s="296"/>
      <c r="D403" s="252"/>
      <c r="E403" s="1044"/>
      <c r="F403" s="407"/>
    </row>
    <row r="404" spans="1:6" s="1046" customFormat="1">
      <c r="A404" s="252"/>
      <c r="B404" s="252"/>
      <c r="C404" s="358" t="s">
        <v>2351</v>
      </c>
      <c r="D404" s="252"/>
      <c r="E404" s="1044"/>
      <c r="F404" s="407"/>
    </row>
    <row r="405" spans="1:6" s="1046" customFormat="1">
      <c r="A405" s="252">
        <v>1</v>
      </c>
      <c r="B405" s="252" t="s">
        <v>1394</v>
      </c>
      <c r="C405" s="296" t="s">
        <v>5388</v>
      </c>
      <c r="D405" s="407">
        <v>277.60000000000002</v>
      </c>
      <c r="E405" s="1044" t="s">
        <v>1394</v>
      </c>
      <c r="F405" s="407">
        <v>277.60000000000002</v>
      </c>
    </row>
    <row r="406" spans="1:6" s="1046" customFormat="1">
      <c r="A406" s="252"/>
      <c r="B406" s="252"/>
      <c r="C406" s="296" t="s">
        <v>2271</v>
      </c>
      <c r="D406" s="407"/>
      <c r="E406" s="1044"/>
      <c r="F406" s="407">
        <v>13.47</v>
      </c>
    </row>
    <row r="407" spans="1:6" s="1046" customFormat="1">
      <c r="A407" s="252"/>
      <c r="B407" s="252"/>
      <c r="C407" s="296" t="s">
        <v>915</v>
      </c>
      <c r="D407" s="407"/>
      <c r="E407" s="1044"/>
      <c r="F407" s="407">
        <v>238.13</v>
      </c>
    </row>
    <row r="408" spans="1:6" s="1046" customFormat="1">
      <c r="A408" s="252"/>
      <c r="B408" s="252"/>
      <c r="C408" s="296" t="s">
        <v>2352</v>
      </c>
      <c r="D408" s="407"/>
      <c r="E408" s="1044"/>
      <c r="F408" s="1080">
        <v>529.20000000000005</v>
      </c>
    </row>
    <row r="409" spans="1:6" s="1046" customFormat="1">
      <c r="A409" s="252"/>
      <c r="B409" s="252"/>
      <c r="C409" s="252"/>
      <c r="D409" s="252"/>
      <c r="E409" s="1044"/>
      <c r="F409" s="407"/>
    </row>
    <row r="410" spans="1:6" s="1046" customFormat="1">
      <c r="A410" s="252"/>
      <c r="B410" s="252"/>
      <c r="C410" s="296"/>
      <c r="D410" s="252"/>
      <c r="E410" s="1044"/>
      <c r="F410" s="407"/>
    </row>
    <row r="411" spans="1:6" s="1046" customFormat="1">
      <c r="A411" s="252"/>
      <c r="B411" s="252"/>
      <c r="C411" s="252" t="s">
        <v>2353</v>
      </c>
      <c r="D411" s="252"/>
      <c r="E411" s="1044"/>
      <c r="F411" s="407"/>
    </row>
    <row r="412" spans="1:6" s="1046" customFormat="1">
      <c r="A412" s="252">
        <v>2</v>
      </c>
      <c r="B412" s="252" t="s">
        <v>1394</v>
      </c>
      <c r="C412" s="296" t="s">
        <v>2585</v>
      </c>
      <c r="D412" s="252">
        <v>820</v>
      </c>
      <c r="E412" s="1044" t="s">
        <v>1394</v>
      </c>
      <c r="F412" s="407">
        <v>1640</v>
      </c>
    </row>
    <row r="413" spans="1:6" s="1046" customFormat="1">
      <c r="A413" s="252">
        <v>3</v>
      </c>
      <c r="B413" s="252" t="s">
        <v>1394</v>
      </c>
      <c r="C413" s="252" t="s">
        <v>2586</v>
      </c>
      <c r="D413" s="252">
        <v>644</v>
      </c>
      <c r="E413" s="1044" t="s">
        <v>1394</v>
      </c>
      <c r="F413" s="407">
        <v>1932</v>
      </c>
    </row>
    <row r="414" spans="1:6" s="1046" customFormat="1">
      <c r="A414" s="1044"/>
      <c r="B414" s="252"/>
      <c r="C414" s="296" t="s">
        <v>3427</v>
      </c>
      <c r="D414" s="252"/>
      <c r="E414" s="296"/>
      <c r="F414" s="407">
        <v>3572</v>
      </c>
    </row>
    <row r="415" spans="1:6" s="1046" customFormat="1">
      <c r="A415" s="252"/>
      <c r="B415" s="252"/>
      <c r="C415" s="296" t="s">
        <v>2780</v>
      </c>
      <c r="D415" s="252"/>
      <c r="E415" s="296"/>
      <c r="F415" s="407">
        <v>238.13</v>
      </c>
    </row>
    <row r="416" spans="1:6" s="1046" customFormat="1">
      <c r="A416" s="1044"/>
      <c r="B416" s="252"/>
      <c r="C416" s="296"/>
      <c r="D416" s="252"/>
      <c r="E416" s="1044"/>
      <c r="F416" s="407"/>
    </row>
    <row r="417" spans="1:6" s="1046" customFormat="1">
      <c r="A417" s="252"/>
      <c r="B417" s="252"/>
      <c r="C417" s="296" t="s">
        <v>2858</v>
      </c>
      <c r="D417" s="252"/>
      <c r="E417" s="1044"/>
      <c r="F417" s="407"/>
    </row>
    <row r="418" spans="1:6" s="1046" customFormat="1">
      <c r="A418" s="252">
        <v>1</v>
      </c>
      <c r="B418" s="252" t="s">
        <v>1394</v>
      </c>
      <c r="C418" s="296" t="s">
        <v>5423</v>
      </c>
      <c r="D418" s="252">
        <v>1553</v>
      </c>
      <c r="E418" s="1044" t="s">
        <v>1394</v>
      </c>
      <c r="F418" s="407">
        <v>1553</v>
      </c>
    </row>
    <row r="419" spans="1:6" s="1046" customFormat="1">
      <c r="A419" s="252">
        <v>1</v>
      </c>
      <c r="B419" s="252" t="s">
        <v>1394</v>
      </c>
      <c r="C419" s="358" t="s">
        <v>5424</v>
      </c>
      <c r="D419" s="252">
        <v>185.9</v>
      </c>
      <c r="E419" s="1044" t="s">
        <v>1394</v>
      </c>
      <c r="F419" s="407">
        <v>185.9</v>
      </c>
    </row>
    <row r="420" spans="1:6" s="1046" customFormat="1">
      <c r="A420" s="252"/>
      <c r="B420" s="252"/>
      <c r="C420" s="296" t="s">
        <v>2854</v>
      </c>
      <c r="D420" s="252"/>
      <c r="E420" s="296"/>
      <c r="F420" s="1080">
        <v>1739.7</v>
      </c>
    </row>
    <row r="421" spans="1:6" s="1046" customFormat="1">
      <c r="A421" s="252"/>
      <c r="B421" s="252"/>
      <c r="C421" s="296"/>
      <c r="D421" s="252"/>
      <c r="E421" s="252"/>
      <c r="F421" s="407"/>
    </row>
    <row r="422" spans="1:6" s="1046" customFormat="1" ht="78.75">
      <c r="A422" s="252"/>
      <c r="B422" s="252"/>
      <c r="C422" s="389" t="s">
        <v>3103</v>
      </c>
      <c r="D422" s="252"/>
      <c r="E422" s="252"/>
      <c r="F422" s="407"/>
    </row>
    <row r="423" spans="1:6" s="1046" customFormat="1">
      <c r="A423" s="252"/>
      <c r="B423" s="252"/>
      <c r="C423" s="296"/>
      <c r="D423" s="252"/>
      <c r="E423" s="252"/>
      <c r="F423" s="407"/>
    </row>
    <row r="424" spans="1:6" s="1046" customFormat="1">
      <c r="A424" s="252">
        <v>1</v>
      </c>
      <c r="B424" s="252" t="s">
        <v>826</v>
      </c>
      <c r="C424" s="296" t="s">
        <v>2324</v>
      </c>
      <c r="D424" s="252">
        <v>914.1</v>
      </c>
      <c r="E424" s="252" t="s">
        <v>3104</v>
      </c>
      <c r="F424" s="407">
        <v>9.14</v>
      </c>
    </row>
    <row r="425" spans="1:6" s="1046" customFormat="1">
      <c r="A425" s="252"/>
      <c r="B425" s="252"/>
      <c r="C425" s="296" t="s">
        <v>140</v>
      </c>
      <c r="D425" s="252"/>
      <c r="E425" s="1044"/>
      <c r="F425" s="407">
        <v>586.79999999999995</v>
      </c>
    </row>
    <row r="426" spans="1:6" s="1046" customFormat="1">
      <c r="A426" s="252"/>
      <c r="B426" s="252"/>
      <c r="C426" s="252" t="s">
        <v>2327</v>
      </c>
      <c r="D426" s="252"/>
      <c r="E426" s="1044"/>
      <c r="F426" s="407">
        <v>5.26</v>
      </c>
    </row>
    <row r="427" spans="1:6" s="1046" customFormat="1">
      <c r="A427" s="252"/>
      <c r="B427" s="252"/>
      <c r="C427" s="296" t="s">
        <v>3105</v>
      </c>
      <c r="D427" s="252" t="s">
        <v>1062</v>
      </c>
      <c r="E427" s="1044"/>
      <c r="F427" s="407">
        <v>601.20000000000005</v>
      </c>
    </row>
    <row r="428" spans="1:6" s="1046" customFormat="1">
      <c r="A428" s="252">
        <v>1</v>
      </c>
      <c r="B428" s="252" t="s">
        <v>1394</v>
      </c>
      <c r="C428" s="252" t="s">
        <v>2754</v>
      </c>
      <c r="D428" s="252">
        <v>826</v>
      </c>
      <c r="E428" s="1044" t="s">
        <v>1394</v>
      </c>
      <c r="F428" s="407">
        <v>826</v>
      </c>
    </row>
    <row r="429" spans="1:6" s="1046" customFormat="1">
      <c r="A429" s="252">
        <v>1</v>
      </c>
      <c r="B429" s="252" t="s">
        <v>1394</v>
      </c>
      <c r="C429" s="296" t="s">
        <v>2585</v>
      </c>
      <c r="D429" s="252">
        <v>820</v>
      </c>
      <c r="E429" s="1044" t="s">
        <v>1394</v>
      </c>
      <c r="F429" s="407">
        <v>820</v>
      </c>
    </row>
    <row r="430" spans="1:6" s="1046" customFormat="1">
      <c r="A430" s="252">
        <v>2</v>
      </c>
      <c r="B430" s="296" t="s">
        <v>1394</v>
      </c>
      <c r="C430" s="296" t="s">
        <v>3064</v>
      </c>
      <c r="D430" s="252">
        <v>644</v>
      </c>
      <c r="E430" s="252" t="s">
        <v>1394</v>
      </c>
      <c r="F430" s="407">
        <v>1288</v>
      </c>
    </row>
    <row r="431" spans="1:6" s="1046" customFormat="1">
      <c r="A431" s="252"/>
      <c r="B431" s="252"/>
      <c r="C431" s="358" t="s">
        <v>3106</v>
      </c>
      <c r="D431" s="252"/>
      <c r="E431" s="252"/>
      <c r="F431" s="407">
        <v>2934</v>
      </c>
    </row>
    <row r="432" spans="1:6" s="1046" customFormat="1">
      <c r="A432" s="252"/>
      <c r="B432" s="296"/>
      <c r="C432" s="296" t="s">
        <v>1062</v>
      </c>
      <c r="D432" s="252"/>
      <c r="E432" s="296"/>
      <c r="F432" s="1080">
        <v>586.79999999999995</v>
      </c>
    </row>
    <row r="433" spans="1:6" s="1046" customFormat="1">
      <c r="A433" s="252"/>
      <c r="B433" s="296"/>
      <c r="C433" s="296"/>
      <c r="D433" s="252"/>
      <c r="E433" s="296"/>
      <c r="F433" s="407"/>
    </row>
    <row r="434" spans="1:6" s="1046" customFormat="1">
      <c r="A434" s="252"/>
      <c r="B434" s="296"/>
      <c r="C434" s="296" t="s">
        <v>4625</v>
      </c>
      <c r="D434" s="252"/>
      <c r="E434" s="296"/>
      <c r="F434" s="407"/>
    </row>
    <row r="435" spans="1:6" s="1046" customFormat="1">
      <c r="A435" s="252">
        <v>1</v>
      </c>
      <c r="B435" s="296" t="s">
        <v>1394</v>
      </c>
      <c r="C435" s="296" t="s">
        <v>5929</v>
      </c>
      <c r="D435" s="252">
        <v>391</v>
      </c>
      <c r="E435" s="296" t="s">
        <v>1394</v>
      </c>
      <c r="F435" s="407">
        <v>391</v>
      </c>
    </row>
    <row r="436" spans="1:6" s="1046" customFormat="1">
      <c r="A436" s="252"/>
      <c r="B436" s="252"/>
      <c r="C436" s="296"/>
      <c r="D436" s="252"/>
      <c r="E436" s="252" t="s">
        <v>1394</v>
      </c>
      <c r="F436" s="407">
        <v>0</v>
      </c>
    </row>
    <row r="437" spans="1:6" s="1046" customFormat="1">
      <c r="A437" s="252"/>
      <c r="B437" s="296"/>
      <c r="C437" s="296" t="s">
        <v>4653</v>
      </c>
      <c r="D437" s="252"/>
      <c r="E437" s="296"/>
      <c r="F437" s="407">
        <v>312.93</v>
      </c>
    </row>
    <row r="438" spans="1:6" s="1046" customFormat="1">
      <c r="A438" s="252"/>
      <c r="B438" s="252"/>
      <c r="C438" s="252" t="s">
        <v>2271</v>
      </c>
      <c r="D438" s="252"/>
      <c r="E438" s="252"/>
      <c r="F438" s="407">
        <v>0.2</v>
      </c>
    </row>
    <row r="439" spans="1:6" s="1046" customFormat="1">
      <c r="A439" s="252"/>
      <c r="B439" s="252"/>
      <c r="C439" s="296" t="s">
        <v>2854</v>
      </c>
      <c r="D439" s="252"/>
      <c r="E439" s="252"/>
      <c r="F439" s="1080">
        <v>704.13</v>
      </c>
    </row>
    <row r="440" spans="1:6" s="1046" customFormat="1">
      <c r="A440" s="252"/>
      <c r="B440" s="252"/>
      <c r="C440" s="252"/>
      <c r="D440" s="252"/>
      <c r="E440" s="252"/>
      <c r="F440" s="407"/>
    </row>
    <row r="441" spans="1:6" s="1046" customFormat="1">
      <c r="A441" s="252"/>
      <c r="B441" s="252"/>
      <c r="C441" s="296" t="s">
        <v>2391</v>
      </c>
      <c r="D441" s="252"/>
      <c r="E441" s="252"/>
      <c r="F441" s="407"/>
    </row>
    <row r="442" spans="1:6" s="1046" customFormat="1">
      <c r="A442" s="252"/>
      <c r="B442" s="252"/>
      <c r="C442" s="252"/>
      <c r="D442" s="252"/>
      <c r="E442" s="252"/>
      <c r="F442" s="407"/>
    </row>
    <row r="443" spans="1:6" s="1046" customFormat="1" ht="126">
      <c r="A443" s="252"/>
      <c r="B443" s="252"/>
      <c r="C443" s="268" t="s">
        <v>2392</v>
      </c>
      <c r="D443" s="252"/>
      <c r="E443" s="252"/>
      <c r="F443" s="407"/>
    </row>
    <row r="444" spans="1:6" s="1046" customFormat="1">
      <c r="A444" s="252"/>
      <c r="B444" s="252"/>
      <c r="C444" s="252"/>
      <c r="D444" s="252"/>
      <c r="E444" s="252"/>
      <c r="F444" s="407"/>
    </row>
    <row r="445" spans="1:6" s="1046" customFormat="1">
      <c r="A445" s="252">
        <v>180</v>
      </c>
      <c r="B445" s="252" t="s">
        <v>826</v>
      </c>
      <c r="C445" s="252" t="s">
        <v>2538</v>
      </c>
      <c r="D445" s="252">
        <v>16.55</v>
      </c>
      <c r="E445" s="252" t="s">
        <v>826</v>
      </c>
      <c r="F445" s="407">
        <v>2979</v>
      </c>
    </row>
    <row r="446" spans="1:6" s="1046" customFormat="1">
      <c r="A446" s="252">
        <v>90</v>
      </c>
      <c r="B446" s="252" t="s">
        <v>826</v>
      </c>
      <c r="C446" s="252" t="s">
        <v>2364</v>
      </c>
      <c r="D446" s="252">
        <v>20</v>
      </c>
      <c r="E446" s="252" t="s">
        <v>826</v>
      </c>
      <c r="F446" s="407">
        <v>1800</v>
      </c>
    </row>
    <row r="447" spans="1:6" s="1046" customFormat="1">
      <c r="A447" s="252">
        <v>3</v>
      </c>
      <c r="B447" s="252" t="s">
        <v>2632</v>
      </c>
      <c r="C447" s="252" t="s">
        <v>390</v>
      </c>
      <c r="D447" s="252">
        <v>302</v>
      </c>
      <c r="E447" s="252" t="s">
        <v>2632</v>
      </c>
      <c r="F447" s="407">
        <v>906</v>
      </c>
    </row>
    <row r="448" spans="1:6" s="1046" customFormat="1">
      <c r="A448" s="252">
        <v>90</v>
      </c>
      <c r="B448" s="252" t="s">
        <v>826</v>
      </c>
      <c r="C448" s="252" t="s">
        <v>2638</v>
      </c>
      <c r="D448" s="252">
        <v>16.55</v>
      </c>
      <c r="E448" s="252" t="s">
        <v>2539</v>
      </c>
      <c r="F448" s="407">
        <v>1489.5</v>
      </c>
    </row>
    <row r="449" spans="1:6" s="1046" customFormat="1">
      <c r="A449" s="252"/>
      <c r="B449" s="252"/>
      <c r="C449" s="296" t="s">
        <v>915</v>
      </c>
      <c r="D449" s="252"/>
      <c r="E449" s="252"/>
      <c r="F449" s="407">
        <v>12075</v>
      </c>
    </row>
    <row r="450" spans="1:6" s="1046" customFormat="1">
      <c r="A450" s="252"/>
      <c r="B450" s="252"/>
      <c r="C450" s="296"/>
      <c r="D450" s="252"/>
      <c r="E450" s="1044"/>
      <c r="F450" s="407">
        <v>19249.5</v>
      </c>
    </row>
    <row r="451" spans="1:6" s="1046" customFormat="1">
      <c r="A451" s="252"/>
      <c r="B451" s="252"/>
      <c r="C451" s="252" t="s">
        <v>2271</v>
      </c>
      <c r="D451" s="252"/>
      <c r="E451" s="1044"/>
      <c r="F451" s="407">
        <v>91.5</v>
      </c>
    </row>
    <row r="452" spans="1:6" s="1046" customFormat="1">
      <c r="A452" s="252"/>
      <c r="B452" s="252"/>
      <c r="C452" s="252" t="s">
        <v>2393</v>
      </c>
      <c r="D452" s="252"/>
      <c r="E452" s="1044"/>
      <c r="F452" s="407">
        <v>19341</v>
      </c>
    </row>
    <row r="453" spans="1:6" s="1046" customFormat="1">
      <c r="A453" s="252"/>
      <c r="B453" s="252"/>
      <c r="C453" s="252" t="s">
        <v>2394</v>
      </c>
      <c r="D453" s="252"/>
      <c r="E453" s="1044"/>
      <c r="F453" s="1080">
        <v>214.9</v>
      </c>
    </row>
    <row r="454" spans="1:6" s="1046" customFormat="1">
      <c r="A454" s="252"/>
      <c r="B454" s="252"/>
      <c r="C454" s="252"/>
      <c r="D454" s="252"/>
      <c r="E454" s="1044"/>
      <c r="F454" s="407"/>
    </row>
    <row r="455" spans="1:6" s="1046" customFormat="1">
      <c r="A455" s="252"/>
      <c r="B455" s="252"/>
      <c r="C455" s="252" t="s">
        <v>2395</v>
      </c>
      <c r="D455" s="252"/>
      <c r="E455" s="1044"/>
      <c r="F455" s="407"/>
    </row>
    <row r="456" spans="1:6" s="1046" customFormat="1">
      <c r="A456" s="252"/>
      <c r="B456" s="252"/>
      <c r="C456" s="252" t="s">
        <v>2396</v>
      </c>
      <c r="D456" s="252"/>
      <c r="E456" s="1044"/>
      <c r="F456" s="407"/>
    </row>
    <row r="457" spans="1:6" s="1046" customFormat="1">
      <c r="A457" s="252"/>
      <c r="B457" s="252"/>
      <c r="C457" s="252"/>
      <c r="D457" s="252"/>
      <c r="E457" s="1044"/>
      <c r="F457" s="407"/>
    </row>
    <row r="458" spans="1:6" s="1046" customFormat="1" ht="126">
      <c r="A458" s="252"/>
      <c r="B458" s="252"/>
      <c r="C458" s="268" t="s">
        <v>2994</v>
      </c>
      <c r="D458" s="252"/>
      <c r="E458" s="252"/>
      <c r="F458" s="407"/>
    </row>
    <row r="459" spans="1:6" s="1046" customFormat="1">
      <c r="A459" s="252"/>
      <c r="B459" s="252"/>
      <c r="C459" s="252"/>
      <c r="D459" s="252"/>
      <c r="E459" s="252"/>
      <c r="F459" s="407"/>
    </row>
    <row r="460" spans="1:6" s="1046" customFormat="1">
      <c r="A460" s="252"/>
      <c r="B460" s="252"/>
      <c r="C460" s="252" t="s">
        <v>2995</v>
      </c>
      <c r="D460" s="252"/>
      <c r="E460" s="252"/>
      <c r="F460" s="407">
        <v>19249.5</v>
      </c>
    </row>
    <row r="461" spans="1:6" s="1046" customFormat="1">
      <c r="A461" s="252">
        <v>180</v>
      </c>
      <c r="B461" s="252" t="s">
        <v>826</v>
      </c>
      <c r="C461" s="252" t="s">
        <v>5381</v>
      </c>
      <c r="D461" s="252">
        <v>25.75</v>
      </c>
      <c r="E461" s="1044" t="s">
        <v>826</v>
      </c>
      <c r="F461" s="407">
        <v>4635</v>
      </c>
    </row>
    <row r="462" spans="1:6" s="1046" customFormat="1">
      <c r="A462" s="252">
        <v>180</v>
      </c>
      <c r="B462" s="252" t="s">
        <v>826</v>
      </c>
      <c r="C462" s="252" t="s">
        <v>2943</v>
      </c>
      <c r="D462" s="252">
        <v>16.55</v>
      </c>
      <c r="E462" s="1044" t="s">
        <v>2539</v>
      </c>
      <c r="F462" s="407">
        <v>2979</v>
      </c>
    </row>
    <row r="463" spans="1:6" s="1046" customFormat="1">
      <c r="A463" s="252"/>
      <c r="B463" s="252"/>
      <c r="C463" s="252" t="s">
        <v>2271</v>
      </c>
      <c r="D463" s="252"/>
      <c r="E463" s="1044"/>
      <c r="F463" s="407">
        <v>55.5</v>
      </c>
    </row>
    <row r="464" spans="1:6" s="1046" customFormat="1">
      <c r="A464" s="252"/>
      <c r="B464" s="252"/>
      <c r="C464" s="252" t="s">
        <v>2944</v>
      </c>
      <c r="D464" s="252"/>
      <c r="E464" s="1044"/>
      <c r="F464" s="407">
        <v>20961</v>
      </c>
    </row>
    <row r="465" spans="1:6" s="1046" customFormat="1">
      <c r="A465" s="252"/>
      <c r="B465" s="252"/>
      <c r="C465" s="252" t="s">
        <v>2394</v>
      </c>
      <c r="D465" s="252"/>
      <c r="E465" s="252"/>
      <c r="F465" s="1080">
        <v>232.9</v>
      </c>
    </row>
    <row r="466" spans="1:6" s="1046" customFormat="1">
      <c r="A466" s="252"/>
      <c r="B466" s="252"/>
      <c r="C466" s="252"/>
      <c r="D466" s="252"/>
      <c r="E466" s="252"/>
      <c r="F466" s="407"/>
    </row>
    <row r="467" spans="1:6" s="1046" customFormat="1">
      <c r="A467" s="252"/>
      <c r="B467" s="252"/>
      <c r="C467" s="252" t="s">
        <v>2945</v>
      </c>
      <c r="D467" s="407"/>
      <c r="E467" s="252"/>
      <c r="F467" s="407"/>
    </row>
    <row r="468" spans="1:6" s="1046" customFormat="1">
      <c r="A468" s="252"/>
      <c r="B468" s="252"/>
      <c r="C468" s="252" t="s">
        <v>2946</v>
      </c>
      <c r="D468" s="407"/>
      <c r="E468" s="252"/>
      <c r="F468" s="407"/>
    </row>
    <row r="469" spans="1:6" s="1046" customFormat="1">
      <c r="A469" s="252"/>
      <c r="B469" s="252"/>
      <c r="C469" s="296"/>
      <c r="D469" s="407"/>
      <c r="E469" s="252"/>
      <c r="F469" s="407"/>
    </row>
    <row r="470" spans="1:6" s="1046" customFormat="1" ht="126">
      <c r="A470" s="252"/>
      <c r="B470" s="252"/>
      <c r="C470" s="389" t="s">
        <v>3172</v>
      </c>
      <c r="D470" s="407"/>
      <c r="E470" s="1044"/>
      <c r="F470" s="407"/>
    </row>
    <row r="471" spans="1:6" s="1046" customFormat="1">
      <c r="A471" s="252">
        <v>180</v>
      </c>
      <c r="B471" s="252" t="s">
        <v>826</v>
      </c>
      <c r="C471" s="296" t="s">
        <v>5382</v>
      </c>
      <c r="D471" s="252">
        <v>40.950000000000003</v>
      </c>
      <c r="E471" s="1044" t="s">
        <v>2539</v>
      </c>
      <c r="F471" s="407">
        <v>7371</v>
      </c>
    </row>
    <row r="472" spans="1:6" s="1046" customFormat="1">
      <c r="A472" s="252">
        <v>90</v>
      </c>
      <c r="B472" s="252" t="s">
        <v>826</v>
      </c>
      <c r="C472" s="296" t="s">
        <v>2364</v>
      </c>
      <c r="D472" s="252">
        <v>20</v>
      </c>
      <c r="E472" s="1044" t="s">
        <v>826</v>
      </c>
      <c r="F472" s="407">
        <v>1800</v>
      </c>
    </row>
    <row r="473" spans="1:6" s="1046" customFormat="1">
      <c r="A473" s="375">
        <v>3</v>
      </c>
      <c r="B473" s="252" t="s">
        <v>2632</v>
      </c>
      <c r="C473" s="296" t="s">
        <v>390</v>
      </c>
      <c r="D473" s="252">
        <v>302</v>
      </c>
      <c r="E473" s="296" t="s">
        <v>2632</v>
      </c>
      <c r="F473" s="407">
        <v>906</v>
      </c>
    </row>
    <row r="474" spans="1:6" s="1046" customFormat="1">
      <c r="A474" s="252">
        <v>90</v>
      </c>
      <c r="B474" s="252" t="s">
        <v>826</v>
      </c>
      <c r="C474" s="296" t="s">
        <v>3896</v>
      </c>
      <c r="D474" s="252">
        <v>25.75</v>
      </c>
      <c r="E474" s="296" t="s">
        <v>2539</v>
      </c>
      <c r="F474" s="407">
        <v>2317.5</v>
      </c>
    </row>
    <row r="475" spans="1:6" s="1046" customFormat="1">
      <c r="A475" s="252"/>
      <c r="B475" s="252"/>
      <c r="C475" s="296" t="s">
        <v>915</v>
      </c>
      <c r="D475" s="252"/>
      <c r="E475" s="296"/>
      <c r="F475" s="407">
        <v>12075</v>
      </c>
    </row>
    <row r="476" spans="1:6" s="1046" customFormat="1">
      <c r="A476" s="252"/>
      <c r="B476" s="252"/>
      <c r="C476" s="358" t="s">
        <v>2271</v>
      </c>
      <c r="D476" s="252"/>
      <c r="E476" s="296"/>
      <c r="F476" s="407">
        <v>91.5</v>
      </c>
    </row>
    <row r="477" spans="1:6" s="1046" customFormat="1">
      <c r="A477" s="252"/>
      <c r="B477" s="252"/>
      <c r="C477" s="296" t="s">
        <v>2393</v>
      </c>
      <c r="D477" s="252"/>
      <c r="E477" s="296"/>
      <c r="F477" s="407">
        <v>24561</v>
      </c>
    </row>
    <row r="478" spans="1:6" s="1046" customFormat="1">
      <c r="A478" s="252"/>
      <c r="B478" s="252"/>
      <c r="C478" s="296" t="s">
        <v>2394</v>
      </c>
      <c r="D478" s="252"/>
      <c r="E478" s="296"/>
      <c r="F478" s="1080">
        <v>272.89999999999998</v>
      </c>
    </row>
    <row r="479" spans="1:6" s="1046" customFormat="1">
      <c r="A479" s="252"/>
      <c r="B479" s="252"/>
      <c r="C479" s="296"/>
      <c r="D479" s="252"/>
      <c r="E479" s="296"/>
      <c r="F479" s="407"/>
    </row>
    <row r="480" spans="1:6" s="1046" customFormat="1">
      <c r="A480" s="252"/>
      <c r="B480" s="252"/>
      <c r="C480" s="296"/>
      <c r="D480" s="252"/>
      <c r="E480" s="296"/>
      <c r="F480" s="407"/>
    </row>
    <row r="481" spans="1:6" s="1046" customFormat="1">
      <c r="A481" s="252"/>
      <c r="B481" s="252" t="s">
        <v>2251</v>
      </c>
      <c r="C481" s="296" t="s">
        <v>6562</v>
      </c>
      <c r="D481" s="252"/>
      <c r="E481" s="296"/>
      <c r="F481" s="407"/>
    </row>
    <row r="482" spans="1:6" s="1046" customFormat="1">
      <c r="A482" s="252"/>
      <c r="B482" s="252"/>
      <c r="C482" s="358" t="s">
        <v>1524</v>
      </c>
      <c r="D482" s="252"/>
      <c r="E482" s="296"/>
      <c r="F482" s="407"/>
    </row>
    <row r="483" spans="1:6" s="1046" customFormat="1">
      <c r="A483" s="252"/>
      <c r="B483" s="252"/>
      <c r="C483" s="296" t="s">
        <v>1898</v>
      </c>
      <c r="D483" s="252"/>
      <c r="E483" s="296"/>
      <c r="F483" s="407"/>
    </row>
    <row r="484" spans="1:6" s="1046" customFormat="1">
      <c r="A484" s="252"/>
      <c r="B484" s="252"/>
      <c r="C484" s="296" t="s">
        <v>1586</v>
      </c>
      <c r="D484" s="252"/>
      <c r="E484" s="296"/>
      <c r="F484" s="407"/>
    </row>
    <row r="485" spans="1:6" s="1046" customFormat="1">
      <c r="A485" s="252">
        <v>1.34</v>
      </c>
      <c r="B485" s="252" t="s">
        <v>1645</v>
      </c>
      <c r="C485" s="296" t="s">
        <v>5351</v>
      </c>
      <c r="D485" s="252">
        <v>73.8</v>
      </c>
      <c r="E485" s="296" t="s">
        <v>1645</v>
      </c>
      <c r="F485" s="407">
        <v>98.89</v>
      </c>
    </row>
    <row r="486" spans="1:6" s="1046" customFormat="1">
      <c r="A486" s="252">
        <v>0.5</v>
      </c>
      <c r="B486" s="252" t="s">
        <v>769</v>
      </c>
      <c r="C486" s="296" t="s">
        <v>1179</v>
      </c>
      <c r="D486" s="252">
        <v>797</v>
      </c>
      <c r="E486" s="296" t="s">
        <v>769</v>
      </c>
      <c r="F486" s="407">
        <v>398.5</v>
      </c>
    </row>
    <row r="487" spans="1:6" s="1046" customFormat="1">
      <c r="A487" s="252">
        <v>0.5</v>
      </c>
      <c r="B487" s="252" t="s">
        <v>769</v>
      </c>
      <c r="C487" s="296" t="s">
        <v>1902</v>
      </c>
      <c r="D487" s="252">
        <v>651</v>
      </c>
      <c r="E487" s="296" t="s">
        <v>769</v>
      </c>
      <c r="F487" s="407">
        <v>325.5</v>
      </c>
    </row>
    <row r="488" spans="1:6" s="1046" customFormat="1">
      <c r="A488" s="252">
        <v>0.8</v>
      </c>
      <c r="B488" s="252" t="s">
        <v>769</v>
      </c>
      <c r="C488" s="296" t="s">
        <v>320</v>
      </c>
      <c r="D488" s="252">
        <v>534</v>
      </c>
      <c r="E488" s="296" t="s">
        <v>769</v>
      </c>
      <c r="F488" s="407">
        <v>427.2</v>
      </c>
    </row>
    <row r="489" spans="1:6" s="1046" customFormat="1">
      <c r="A489" s="252"/>
      <c r="B489" s="252" t="s">
        <v>449</v>
      </c>
      <c r="C489" s="296" t="s">
        <v>1181</v>
      </c>
      <c r="D489" s="252" t="s">
        <v>975</v>
      </c>
      <c r="E489" s="296" t="s">
        <v>449</v>
      </c>
      <c r="F489" s="407">
        <v>2.6</v>
      </c>
    </row>
    <row r="490" spans="1:6" s="1046" customFormat="1">
      <c r="A490" s="252"/>
      <c r="B490" s="252"/>
      <c r="C490" s="296"/>
      <c r="D490" s="252"/>
      <c r="E490" s="296"/>
      <c r="F490" s="407" t="s">
        <v>1586</v>
      </c>
    </row>
    <row r="491" spans="1:6" s="1046" customFormat="1">
      <c r="A491" s="252"/>
      <c r="B491" s="252"/>
      <c r="C491" s="296" t="s">
        <v>441</v>
      </c>
      <c r="D491" s="252"/>
      <c r="E491" s="296"/>
      <c r="F491" s="407">
        <v>1252.69</v>
      </c>
    </row>
    <row r="492" spans="1:6" s="1046" customFormat="1">
      <c r="A492" s="252"/>
      <c r="B492" s="252"/>
      <c r="C492" s="296"/>
      <c r="D492" s="252"/>
      <c r="E492" s="296"/>
      <c r="F492" s="407" t="s">
        <v>1586</v>
      </c>
    </row>
    <row r="493" spans="1:6" s="1046" customFormat="1">
      <c r="A493" s="252"/>
      <c r="B493" s="252"/>
      <c r="C493" s="296" t="s">
        <v>552</v>
      </c>
      <c r="D493" s="252"/>
      <c r="E493" s="296"/>
      <c r="F493" s="1080">
        <v>125.27</v>
      </c>
    </row>
    <row r="494" spans="1:6" s="1046" customFormat="1">
      <c r="A494" s="252"/>
      <c r="B494" s="252"/>
      <c r="C494" s="252"/>
      <c r="D494" s="252"/>
      <c r="E494" s="296"/>
      <c r="F494" s="407"/>
    </row>
    <row r="495" spans="1:6" s="1046" customFormat="1">
      <c r="A495" s="252"/>
      <c r="B495" s="252"/>
      <c r="C495" s="296" t="s">
        <v>4246</v>
      </c>
      <c r="D495" s="252"/>
      <c r="E495" s="296"/>
      <c r="F495" s="407"/>
    </row>
    <row r="496" spans="1:6" s="1046" customFormat="1">
      <c r="A496" s="252"/>
      <c r="B496" s="252"/>
      <c r="C496" s="252"/>
      <c r="D496" s="252"/>
      <c r="E496" s="296"/>
      <c r="F496" s="407"/>
    </row>
    <row r="497" spans="1:6" s="1046" customFormat="1">
      <c r="A497" s="252">
        <v>1.4</v>
      </c>
      <c r="B497" s="252" t="s">
        <v>1238</v>
      </c>
      <c r="C497" s="296" t="s">
        <v>1200</v>
      </c>
      <c r="D497" s="252">
        <v>295.60000000000002</v>
      </c>
      <c r="E497" s="296" t="s">
        <v>1238</v>
      </c>
      <c r="F497" s="407">
        <v>413.84</v>
      </c>
    </row>
    <row r="498" spans="1:6" s="1046" customFormat="1">
      <c r="A498" s="252">
        <v>1.5</v>
      </c>
      <c r="B498" s="252" t="s">
        <v>769</v>
      </c>
      <c r="C498" s="252" t="s">
        <v>4248</v>
      </c>
      <c r="D498" s="252">
        <v>797</v>
      </c>
      <c r="E498" s="296" t="s">
        <v>769</v>
      </c>
      <c r="F498" s="407">
        <v>1195.5</v>
      </c>
    </row>
    <row r="499" spans="1:6" s="1046" customFormat="1">
      <c r="A499" s="1044">
        <v>10</v>
      </c>
      <c r="B499" s="252" t="s">
        <v>2283</v>
      </c>
      <c r="C499" s="296" t="s">
        <v>3866</v>
      </c>
      <c r="D499" s="252">
        <v>4.2</v>
      </c>
      <c r="E499" s="296" t="s">
        <v>2283</v>
      </c>
      <c r="F499" s="407">
        <v>42</v>
      </c>
    </row>
    <row r="500" spans="1:6" s="1046" customFormat="1">
      <c r="A500" s="252"/>
      <c r="B500" s="252"/>
      <c r="C500" s="296" t="s">
        <v>3039</v>
      </c>
      <c r="D500" s="252" t="s">
        <v>3040</v>
      </c>
      <c r="E500" s="296"/>
      <c r="F500" s="407">
        <v>4.33</v>
      </c>
    </row>
    <row r="501" spans="1:6" s="1046" customFormat="1">
      <c r="A501" s="252"/>
      <c r="B501" s="252"/>
      <c r="C501" s="296" t="s">
        <v>441</v>
      </c>
      <c r="D501" s="252"/>
      <c r="E501" s="296"/>
      <c r="F501" s="407">
        <v>1655.67</v>
      </c>
    </row>
    <row r="502" spans="1:6" s="1046" customFormat="1">
      <c r="A502" s="252"/>
      <c r="B502" s="252"/>
      <c r="C502" s="296" t="s">
        <v>552</v>
      </c>
      <c r="D502" s="252"/>
      <c r="E502" s="296"/>
      <c r="F502" s="1080">
        <v>165.57</v>
      </c>
    </row>
    <row r="503" spans="1:6" s="1046" customFormat="1">
      <c r="A503" s="252"/>
      <c r="B503" s="252"/>
      <c r="C503" s="296"/>
      <c r="D503" s="252"/>
      <c r="E503" s="296"/>
      <c r="F503" s="407"/>
    </row>
    <row r="504" spans="1:6" s="1046" customFormat="1">
      <c r="A504" s="252"/>
      <c r="B504" s="252" t="s">
        <v>675</v>
      </c>
      <c r="C504" s="296" t="s">
        <v>1114</v>
      </c>
      <c r="D504" s="252"/>
      <c r="E504" s="296"/>
      <c r="F504" s="407"/>
    </row>
    <row r="505" spans="1:6" s="1046" customFormat="1">
      <c r="A505" s="252"/>
      <c r="B505" s="252"/>
      <c r="C505" s="296" t="s">
        <v>1586</v>
      </c>
      <c r="D505" s="252"/>
      <c r="E505" s="296"/>
      <c r="F505" s="407"/>
    </row>
    <row r="506" spans="1:6" s="1046" customFormat="1">
      <c r="A506" s="252">
        <v>7.0000000000000007E-2</v>
      </c>
      <c r="B506" s="252" t="s">
        <v>869</v>
      </c>
      <c r="C506" s="358" t="s">
        <v>2004</v>
      </c>
      <c r="D506" s="252">
        <v>1348</v>
      </c>
      <c r="E506" s="296" t="s">
        <v>869</v>
      </c>
      <c r="F506" s="407">
        <v>94.36</v>
      </c>
    </row>
    <row r="507" spans="1:6" s="1046" customFormat="1">
      <c r="A507" s="252">
        <v>1.6</v>
      </c>
      <c r="B507" s="252" t="s">
        <v>868</v>
      </c>
      <c r="C507" s="296" t="s">
        <v>1712</v>
      </c>
      <c r="D507" s="252">
        <v>932</v>
      </c>
      <c r="E507" s="296" t="s">
        <v>868</v>
      </c>
      <c r="F507" s="407">
        <v>1491.2</v>
      </c>
    </row>
    <row r="508" spans="1:6" s="1046" customFormat="1">
      <c r="A508" s="252">
        <v>0.5</v>
      </c>
      <c r="B508" s="252" t="s">
        <v>868</v>
      </c>
      <c r="C508" s="296" t="s">
        <v>1902</v>
      </c>
      <c r="D508" s="252">
        <v>651</v>
      </c>
      <c r="E508" s="296" t="s">
        <v>868</v>
      </c>
      <c r="F508" s="407">
        <v>325.5</v>
      </c>
    </row>
    <row r="509" spans="1:6" s="1046" customFormat="1">
      <c r="A509" s="252">
        <v>2.7</v>
      </c>
      <c r="B509" s="252" t="s">
        <v>868</v>
      </c>
      <c r="C509" s="296" t="s">
        <v>320</v>
      </c>
      <c r="D509" s="252">
        <v>534</v>
      </c>
      <c r="E509" s="296" t="s">
        <v>868</v>
      </c>
      <c r="F509" s="407">
        <v>1441.8</v>
      </c>
    </row>
    <row r="510" spans="1:6" s="1046" customFormat="1">
      <c r="A510" s="252"/>
      <c r="B510" s="252" t="s">
        <v>449</v>
      </c>
      <c r="C510" s="296" t="s">
        <v>1836</v>
      </c>
      <c r="D510" s="252" t="s">
        <v>975</v>
      </c>
      <c r="E510" s="296" t="s">
        <v>449</v>
      </c>
      <c r="F510" s="407">
        <v>2.09</v>
      </c>
    </row>
    <row r="511" spans="1:6" s="1046" customFormat="1">
      <c r="A511" s="252"/>
      <c r="B511" s="252"/>
      <c r="C511" s="296"/>
      <c r="D511" s="252"/>
      <c r="E511" s="296"/>
      <c r="F511" s="407" t="s">
        <v>1586</v>
      </c>
    </row>
    <row r="512" spans="1:6" s="1046" customFormat="1">
      <c r="A512" s="252"/>
      <c r="B512" s="252"/>
      <c r="C512" s="296" t="s">
        <v>1838</v>
      </c>
      <c r="D512" s="252"/>
      <c r="E512" s="296"/>
      <c r="F512" s="407">
        <v>3354.95</v>
      </c>
    </row>
    <row r="513" spans="1:6" s="1046" customFormat="1">
      <c r="A513" s="252"/>
      <c r="B513" s="252"/>
      <c r="C513" s="296"/>
      <c r="D513" s="252"/>
      <c r="E513" s="296"/>
      <c r="F513" s="407" t="s">
        <v>1586</v>
      </c>
    </row>
    <row r="514" spans="1:6" s="1046" customFormat="1">
      <c r="A514" s="252"/>
      <c r="B514" s="252"/>
      <c r="C514" s="296" t="s">
        <v>552</v>
      </c>
      <c r="D514" s="252"/>
      <c r="E514" s="296"/>
      <c r="F514" s="1080">
        <v>33.549999999999997</v>
      </c>
    </row>
    <row r="515" spans="1:6" s="1046" customFormat="1">
      <c r="A515" s="252"/>
      <c r="B515" s="252"/>
      <c r="C515" s="296"/>
      <c r="D515" s="252"/>
      <c r="E515" s="296"/>
      <c r="F515" s="407"/>
    </row>
    <row r="516" spans="1:6" s="1046" customFormat="1">
      <c r="A516" s="252"/>
      <c r="B516" s="252"/>
      <c r="C516" s="296" t="s">
        <v>3041</v>
      </c>
      <c r="D516" s="252"/>
      <c r="E516" s="296"/>
      <c r="F516" s="407"/>
    </row>
    <row r="517" spans="1:6" s="1046" customFormat="1">
      <c r="A517" s="252"/>
      <c r="B517" s="252"/>
      <c r="C517" s="296" t="s">
        <v>1376</v>
      </c>
      <c r="D517" s="252"/>
      <c r="E517" s="296"/>
      <c r="F517" s="407"/>
    </row>
    <row r="518" spans="1:6" s="1046" customFormat="1">
      <c r="A518" s="252"/>
      <c r="B518" s="252"/>
      <c r="C518" s="252" t="s">
        <v>1237</v>
      </c>
      <c r="D518" s="252"/>
      <c r="E518" s="296"/>
      <c r="F518" s="407"/>
    </row>
    <row r="519" spans="1:6" s="1046" customFormat="1">
      <c r="A519" s="252"/>
      <c r="B519" s="252"/>
      <c r="C519" s="296"/>
      <c r="D519" s="252"/>
      <c r="E519" s="296"/>
      <c r="F519" s="407"/>
    </row>
    <row r="520" spans="1:6" s="1046" customFormat="1">
      <c r="A520" s="252">
        <v>1.33</v>
      </c>
      <c r="B520" s="252" t="s">
        <v>2570</v>
      </c>
      <c r="C520" s="252" t="s">
        <v>1180</v>
      </c>
      <c r="D520" s="252">
        <v>238.9</v>
      </c>
      <c r="E520" s="296" t="s">
        <v>2570</v>
      </c>
      <c r="F520" s="407">
        <v>317.74</v>
      </c>
    </row>
    <row r="521" spans="1:6" s="1046" customFormat="1">
      <c r="A521" s="252">
        <v>0.7</v>
      </c>
      <c r="B521" s="252" t="s">
        <v>258</v>
      </c>
      <c r="C521" s="296" t="s">
        <v>1179</v>
      </c>
      <c r="D521" s="252">
        <v>797</v>
      </c>
      <c r="E521" s="296" t="s">
        <v>258</v>
      </c>
      <c r="F521" s="407">
        <v>557.9</v>
      </c>
    </row>
    <row r="522" spans="1:6" s="1046" customFormat="1">
      <c r="A522" s="252">
        <v>10</v>
      </c>
      <c r="B522" s="252" t="s">
        <v>2283</v>
      </c>
      <c r="C522" s="252" t="s">
        <v>4598</v>
      </c>
      <c r="D522" s="252">
        <v>9.85</v>
      </c>
      <c r="E522" s="296" t="s">
        <v>2283</v>
      </c>
      <c r="F522" s="407">
        <v>98.5</v>
      </c>
    </row>
    <row r="523" spans="1:6" s="1046" customFormat="1">
      <c r="A523" s="369"/>
      <c r="B523" s="252"/>
      <c r="C523" s="296" t="s">
        <v>3039</v>
      </c>
      <c r="D523" s="252" t="s">
        <v>657</v>
      </c>
      <c r="E523" s="296"/>
      <c r="F523" s="407">
        <v>3.43</v>
      </c>
    </row>
    <row r="524" spans="1:6" s="1046" customFormat="1">
      <c r="A524" s="252"/>
      <c r="B524" s="252"/>
      <c r="C524" s="296" t="s">
        <v>441</v>
      </c>
      <c r="D524" s="252"/>
      <c r="E524" s="296"/>
      <c r="F524" s="407">
        <v>977.57</v>
      </c>
    </row>
    <row r="525" spans="1:6" s="1046" customFormat="1">
      <c r="A525" s="252"/>
      <c r="B525" s="252"/>
      <c r="C525" s="296"/>
      <c r="D525" s="252"/>
      <c r="E525" s="296"/>
      <c r="F525" s="407"/>
    </row>
    <row r="526" spans="1:6" s="1046" customFormat="1">
      <c r="A526" s="252"/>
      <c r="B526" s="252"/>
      <c r="C526" s="296" t="s">
        <v>552</v>
      </c>
      <c r="D526" s="252"/>
      <c r="E526" s="296"/>
      <c r="F526" s="1080">
        <v>97.76</v>
      </c>
    </row>
    <row r="527" spans="1:6" s="1046" customFormat="1">
      <c r="A527" s="252"/>
      <c r="B527" s="252"/>
      <c r="C527" s="296"/>
      <c r="D527" s="252"/>
      <c r="E527" s="296"/>
      <c r="F527" s="407"/>
    </row>
    <row r="528" spans="1:6" s="1046" customFormat="1">
      <c r="A528" s="252"/>
      <c r="B528" s="252"/>
      <c r="C528" s="296" t="s">
        <v>3041</v>
      </c>
      <c r="D528" s="252"/>
      <c r="E528" s="296"/>
      <c r="F528" s="407"/>
    </row>
    <row r="529" spans="1:6" s="1046" customFormat="1">
      <c r="A529" s="252"/>
      <c r="B529" s="252"/>
      <c r="C529" s="296" t="s">
        <v>1045</v>
      </c>
      <c r="D529" s="252"/>
      <c r="E529" s="296"/>
      <c r="F529" s="407"/>
    </row>
    <row r="530" spans="1:6" s="1046" customFormat="1">
      <c r="A530" s="252"/>
      <c r="B530" s="252"/>
      <c r="C530" s="296" t="s">
        <v>1237</v>
      </c>
      <c r="D530" s="252"/>
      <c r="E530" s="296"/>
      <c r="F530" s="407"/>
    </row>
    <row r="531" spans="1:6" s="1046" customFormat="1">
      <c r="A531" s="252"/>
      <c r="B531" s="252"/>
      <c r="C531" s="358"/>
      <c r="D531" s="358"/>
      <c r="E531" s="296"/>
      <c r="F531" s="407"/>
    </row>
    <row r="532" spans="1:6" s="1046" customFormat="1">
      <c r="A532" s="252">
        <v>1.1100000000000001</v>
      </c>
      <c r="B532" s="252" t="s">
        <v>2570</v>
      </c>
      <c r="C532" s="296" t="s">
        <v>1180</v>
      </c>
      <c r="D532" s="252">
        <v>227.6</v>
      </c>
      <c r="E532" s="296" t="s">
        <v>2570</v>
      </c>
      <c r="F532" s="407">
        <v>252.64</v>
      </c>
    </row>
    <row r="533" spans="1:6" s="1046" customFormat="1">
      <c r="A533" s="252">
        <v>0.7</v>
      </c>
      <c r="B533" s="252" t="s">
        <v>258</v>
      </c>
      <c r="C533" s="296" t="s">
        <v>1179</v>
      </c>
      <c r="D533" s="252">
        <v>797</v>
      </c>
      <c r="E533" s="296" t="s">
        <v>258</v>
      </c>
      <c r="F533" s="407">
        <v>557.9</v>
      </c>
    </row>
    <row r="534" spans="1:6" s="1046" customFormat="1">
      <c r="A534" s="252">
        <v>10</v>
      </c>
      <c r="B534" s="252" t="s">
        <v>2283</v>
      </c>
      <c r="C534" s="296" t="s">
        <v>5346</v>
      </c>
      <c r="D534" s="252">
        <v>9.1</v>
      </c>
      <c r="E534" s="296" t="s">
        <v>2283</v>
      </c>
      <c r="F534" s="407">
        <v>91</v>
      </c>
    </row>
    <row r="535" spans="1:6" s="1046" customFormat="1">
      <c r="A535" s="252"/>
      <c r="B535" s="252"/>
      <c r="C535" s="358" t="s">
        <v>3039</v>
      </c>
      <c r="D535" s="252" t="s">
        <v>657</v>
      </c>
      <c r="E535" s="296"/>
      <c r="F535" s="407">
        <v>2.8</v>
      </c>
    </row>
    <row r="536" spans="1:6" s="1046" customFormat="1">
      <c r="A536" s="252"/>
      <c r="B536" s="252"/>
      <c r="C536" s="296" t="s">
        <v>441</v>
      </c>
      <c r="D536" s="252"/>
      <c r="E536" s="296"/>
      <c r="F536" s="407">
        <v>904.34</v>
      </c>
    </row>
    <row r="537" spans="1:6" s="1046" customFormat="1">
      <c r="A537" s="252"/>
      <c r="B537" s="252"/>
      <c r="C537" s="296"/>
      <c r="D537" s="252"/>
      <c r="E537" s="296"/>
      <c r="F537" s="407"/>
    </row>
    <row r="538" spans="1:6" s="1046" customFormat="1">
      <c r="A538" s="252"/>
      <c r="B538" s="252"/>
      <c r="C538" s="296" t="s">
        <v>552</v>
      </c>
      <c r="D538" s="252"/>
      <c r="E538" s="296"/>
      <c r="F538" s="1080">
        <v>90.43</v>
      </c>
    </row>
    <row r="539" spans="1:6" s="1046" customFormat="1">
      <c r="A539" s="252"/>
      <c r="B539" s="252"/>
      <c r="C539" s="296" t="s">
        <v>3615</v>
      </c>
      <c r="D539" s="252"/>
      <c r="E539" s="296" t="s">
        <v>3858</v>
      </c>
      <c r="F539" s="407"/>
    </row>
    <row r="540" spans="1:6" s="1046" customFormat="1">
      <c r="A540" s="252"/>
      <c r="B540" s="252"/>
      <c r="C540" s="296"/>
      <c r="D540" s="252"/>
      <c r="E540" s="296"/>
      <c r="F540" s="407"/>
    </row>
    <row r="541" spans="1:6" s="1046" customFormat="1">
      <c r="A541" s="252"/>
      <c r="B541" s="252"/>
      <c r="C541" s="296"/>
      <c r="D541" s="252"/>
      <c r="E541" s="296"/>
      <c r="F541" s="407"/>
    </row>
    <row r="542" spans="1:6" s="1046" customFormat="1">
      <c r="A542" s="252">
        <v>10</v>
      </c>
      <c r="B542" s="252" t="s">
        <v>609</v>
      </c>
      <c r="C542" s="296" t="s">
        <v>6561</v>
      </c>
      <c r="D542" s="252">
        <v>421.3</v>
      </c>
      <c r="E542" s="296" t="s">
        <v>609</v>
      </c>
      <c r="F542" s="407">
        <v>4213</v>
      </c>
    </row>
    <row r="543" spans="1:6" s="1046" customFormat="1">
      <c r="A543" s="252">
        <v>0.21</v>
      </c>
      <c r="B543" s="252" t="s">
        <v>869</v>
      </c>
      <c r="C543" s="296" t="s">
        <v>1876</v>
      </c>
      <c r="D543" s="252">
        <v>4756.78</v>
      </c>
      <c r="E543" s="296" t="s">
        <v>869</v>
      </c>
      <c r="F543" s="407">
        <v>998.92</v>
      </c>
    </row>
    <row r="544" spans="1:6" s="1046" customFormat="1">
      <c r="A544" s="252">
        <v>1.1000000000000001</v>
      </c>
      <c r="B544" s="252" t="s">
        <v>769</v>
      </c>
      <c r="C544" s="252" t="s">
        <v>2009</v>
      </c>
      <c r="D544" s="252">
        <v>999</v>
      </c>
      <c r="E544" s="296" t="s">
        <v>769</v>
      </c>
      <c r="F544" s="407">
        <v>1098.9000000000001</v>
      </c>
    </row>
    <row r="545" spans="1:6" s="1046" customFormat="1">
      <c r="A545" s="252">
        <v>1.1000000000000001</v>
      </c>
      <c r="B545" s="252" t="s">
        <v>769</v>
      </c>
      <c r="C545" s="296" t="s">
        <v>1712</v>
      </c>
      <c r="D545" s="252">
        <v>932</v>
      </c>
      <c r="E545" s="296" t="s">
        <v>769</v>
      </c>
      <c r="F545" s="407">
        <v>1025.2</v>
      </c>
    </row>
    <row r="546" spans="1:6" s="1046" customFormat="1">
      <c r="A546" s="296">
        <v>2.2000000000000002</v>
      </c>
      <c r="B546" s="252" t="s">
        <v>769</v>
      </c>
      <c r="C546" s="252" t="s">
        <v>1902</v>
      </c>
      <c r="D546" s="252">
        <v>651</v>
      </c>
      <c r="E546" s="296" t="s">
        <v>769</v>
      </c>
      <c r="F546" s="407">
        <v>1432.2</v>
      </c>
    </row>
    <row r="547" spans="1:6" s="1046" customFormat="1">
      <c r="A547" s="252">
        <v>2.2000000000000002</v>
      </c>
      <c r="B547" s="252" t="s">
        <v>769</v>
      </c>
      <c r="C547" s="252" t="s">
        <v>320</v>
      </c>
      <c r="D547" s="252">
        <v>534</v>
      </c>
      <c r="E547" s="296" t="s">
        <v>769</v>
      </c>
      <c r="F547" s="407">
        <v>1174.8</v>
      </c>
    </row>
    <row r="548" spans="1:6" s="1046" customFormat="1">
      <c r="A548" s="252">
        <v>20</v>
      </c>
      <c r="B548" s="252" t="s">
        <v>1645</v>
      </c>
      <c r="C548" s="1044" t="s">
        <v>862</v>
      </c>
      <c r="D548" s="252">
        <v>6040</v>
      </c>
      <c r="E548" s="296" t="s">
        <v>861</v>
      </c>
      <c r="F548" s="407">
        <v>120.8</v>
      </c>
    </row>
    <row r="549" spans="1:6" s="1046" customFormat="1">
      <c r="A549" s="252">
        <v>2</v>
      </c>
      <c r="B549" s="252" t="s">
        <v>1645</v>
      </c>
      <c r="C549" s="296" t="s">
        <v>1528</v>
      </c>
      <c r="D549" s="252">
        <v>36.1</v>
      </c>
      <c r="E549" s="296" t="s">
        <v>1645</v>
      </c>
      <c r="F549" s="407">
        <v>72.2</v>
      </c>
    </row>
    <row r="550" spans="1:6" s="1046" customFormat="1">
      <c r="A550" s="1044">
        <v>1.6</v>
      </c>
      <c r="B550" s="252" t="s">
        <v>769</v>
      </c>
      <c r="C550" s="296" t="s">
        <v>1712</v>
      </c>
      <c r="D550" s="252">
        <v>932</v>
      </c>
      <c r="E550" s="296" t="s">
        <v>769</v>
      </c>
      <c r="F550" s="407">
        <v>1491.2</v>
      </c>
    </row>
    <row r="551" spans="1:6" s="1046" customFormat="1">
      <c r="A551" s="252">
        <v>0.5</v>
      </c>
      <c r="B551" s="252" t="s">
        <v>769</v>
      </c>
      <c r="C551" s="296" t="s">
        <v>1902</v>
      </c>
      <c r="D551" s="252">
        <v>651</v>
      </c>
      <c r="E551" s="296" t="s">
        <v>769</v>
      </c>
      <c r="F551" s="407">
        <v>325.5</v>
      </c>
    </row>
    <row r="552" spans="1:6" s="1046" customFormat="1">
      <c r="A552" s="252">
        <v>1.1000000000000001</v>
      </c>
      <c r="B552" s="252" t="s">
        <v>769</v>
      </c>
      <c r="C552" s="358" t="s">
        <v>320</v>
      </c>
      <c r="D552" s="252">
        <v>534</v>
      </c>
      <c r="E552" s="296" t="s">
        <v>769</v>
      </c>
      <c r="F552" s="407">
        <v>587.4</v>
      </c>
    </row>
    <row r="553" spans="1:6" s="1046" customFormat="1">
      <c r="A553" s="252"/>
      <c r="B553" s="252" t="s">
        <v>449</v>
      </c>
      <c r="C553" s="296" t="s">
        <v>450</v>
      </c>
      <c r="D553" s="252"/>
      <c r="E553" s="296" t="s">
        <v>449</v>
      </c>
      <c r="F553" s="407">
        <v>0</v>
      </c>
    </row>
    <row r="554" spans="1:6" s="1046" customFormat="1">
      <c r="A554" s="252">
        <v>465</v>
      </c>
      <c r="B554" s="252"/>
      <c r="C554" s="296"/>
      <c r="D554" s="252"/>
      <c r="E554" s="296"/>
      <c r="F554" s="407"/>
    </row>
    <row r="555" spans="1:6" s="1046" customFormat="1">
      <c r="A555" s="252"/>
      <c r="B555" s="252"/>
      <c r="C555" s="296" t="s">
        <v>441</v>
      </c>
      <c r="D555" s="252"/>
      <c r="E555" s="296"/>
      <c r="F555" s="407">
        <v>12540.12</v>
      </c>
    </row>
    <row r="556" spans="1:6" s="1046" customFormat="1">
      <c r="A556" s="252"/>
      <c r="B556" s="252"/>
      <c r="C556" s="296"/>
      <c r="D556" s="252"/>
      <c r="E556" s="296"/>
      <c r="F556" s="407" t="s">
        <v>1586</v>
      </c>
    </row>
    <row r="557" spans="1:6" s="1046" customFormat="1">
      <c r="A557" s="252"/>
      <c r="B557" s="252"/>
      <c r="C557" s="296" t="s">
        <v>552</v>
      </c>
      <c r="D557" s="252"/>
      <c r="E557" s="296"/>
      <c r="F557" s="1080">
        <v>1254.01</v>
      </c>
    </row>
    <row r="558" spans="1:6" s="1046" customFormat="1" ht="29.25" customHeight="1">
      <c r="A558" s="252">
        <v>39</v>
      </c>
      <c r="B558" s="252"/>
      <c r="C558" s="252" t="s">
        <v>5311</v>
      </c>
      <c r="D558" s="252">
        <v>70.150000000000006</v>
      </c>
      <c r="E558" s="296" t="s">
        <v>1645</v>
      </c>
      <c r="F558" s="407">
        <v>70.150000000000006</v>
      </c>
    </row>
    <row r="559" spans="1:6" s="1046" customFormat="1">
      <c r="A559" s="252"/>
      <c r="B559" s="252"/>
      <c r="C559" s="296"/>
      <c r="D559" s="252"/>
      <c r="E559" s="296"/>
      <c r="F559" s="407"/>
    </row>
    <row r="560" spans="1:6" s="1046" customFormat="1">
      <c r="A560" s="252" t="s">
        <v>1442</v>
      </c>
      <c r="B560" s="252" t="s">
        <v>2251</v>
      </c>
      <c r="C560" s="252" t="s">
        <v>6598</v>
      </c>
      <c r="D560" s="296"/>
      <c r="E560" s="296"/>
      <c r="F560" s="407"/>
    </row>
    <row r="561" spans="1:6" s="1046" customFormat="1">
      <c r="A561" s="252"/>
      <c r="B561" s="252"/>
      <c r="C561" s="296" t="s">
        <v>1443</v>
      </c>
      <c r="D561" s="252"/>
      <c r="E561" s="296"/>
      <c r="F561" s="407"/>
    </row>
    <row r="562" spans="1:6" s="1046" customFormat="1">
      <c r="A562" s="252"/>
      <c r="B562" s="252"/>
      <c r="C562" s="358" t="s">
        <v>1586</v>
      </c>
      <c r="D562" s="252" t="s">
        <v>1586</v>
      </c>
      <c r="E562" s="296"/>
      <c r="F562" s="407"/>
    </row>
    <row r="563" spans="1:6" s="1046" customFormat="1">
      <c r="A563" s="252">
        <v>0.53339999999999999</v>
      </c>
      <c r="B563" s="252" t="s">
        <v>2283</v>
      </c>
      <c r="C563" s="296" t="s">
        <v>6377</v>
      </c>
      <c r="D563" s="252">
        <v>306.89999999999998</v>
      </c>
      <c r="E563" s="296" t="s">
        <v>2283</v>
      </c>
      <c r="F563" s="407">
        <v>163.69999999999999</v>
      </c>
    </row>
    <row r="564" spans="1:6" s="1046" customFormat="1">
      <c r="A564" s="252">
        <v>4.24</v>
      </c>
      <c r="B564" s="252" t="s">
        <v>826</v>
      </c>
      <c r="C564" s="296" t="s">
        <v>4225</v>
      </c>
      <c r="D564" s="252">
        <v>35.61</v>
      </c>
      <c r="E564" s="296" t="s">
        <v>826</v>
      </c>
      <c r="F564" s="407">
        <v>150.99</v>
      </c>
    </row>
    <row r="565" spans="1:6" s="1046" customFormat="1">
      <c r="A565" s="252">
        <v>16</v>
      </c>
      <c r="B565" s="252" t="s">
        <v>560</v>
      </c>
      <c r="C565" s="296" t="s">
        <v>4226</v>
      </c>
      <c r="D565" s="252">
        <v>1</v>
      </c>
      <c r="E565" s="296" t="s">
        <v>1398</v>
      </c>
      <c r="F565" s="407">
        <v>16</v>
      </c>
    </row>
    <row r="566" spans="1:6" s="1046" customFormat="1">
      <c r="A566" s="252">
        <v>0.53339999999999999</v>
      </c>
      <c r="B566" s="252" t="s">
        <v>2283</v>
      </c>
      <c r="C566" s="252" t="s">
        <v>707</v>
      </c>
      <c r="D566" s="252">
        <v>215.74</v>
      </c>
      <c r="E566" s="296" t="s">
        <v>2283</v>
      </c>
      <c r="F566" s="407">
        <v>115.08</v>
      </c>
    </row>
    <row r="567" spans="1:6" s="1046" customFormat="1">
      <c r="A567" s="252"/>
      <c r="B567" s="252" t="s">
        <v>449</v>
      </c>
      <c r="C567" s="296" t="s">
        <v>2271</v>
      </c>
      <c r="D567" s="252"/>
      <c r="E567" s="296" t="s">
        <v>449</v>
      </c>
      <c r="F567" s="407"/>
    </row>
    <row r="568" spans="1:6" s="1046" customFormat="1">
      <c r="A568" s="252"/>
      <c r="B568" s="252"/>
      <c r="C568" s="252" t="s">
        <v>2272</v>
      </c>
      <c r="D568" s="296"/>
      <c r="E568" s="296"/>
      <c r="F568" s="407"/>
    </row>
    <row r="569" spans="1:6" s="1046" customFormat="1">
      <c r="A569" s="252"/>
      <c r="B569" s="252"/>
      <c r="C569" s="252"/>
      <c r="D569" s="252"/>
      <c r="E569" s="296"/>
      <c r="F569" s="407" t="s">
        <v>1586</v>
      </c>
    </row>
    <row r="570" spans="1:6" s="1046" customFormat="1">
      <c r="A570" s="252"/>
      <c r="B570" s="252"/>
      <c r="C570" s="252" t="s">
        <v>1694</v>
      </c>
      <c r="D570" s="252"/>
      <c r="E570" s="296"/>
      <c r="F570" s="407">
        <v>445.77</v>
      </c>
    </row>
    <row r="571" spans="1:6" s="1046" customFormat="1">
      <c r="A571" s="296"/>
      <c r="B571" s="296"/>
      <c r="C571" s="296"/>
      <c r="D571" s="252"/>
      <c r="E571" s="296"/>
      <c r="F571" s="407" t="s">
        <v>1586</v>
      </c>
    </row>
    <row r="572" spans="1:6" s="1046" customFormat="1">
      <c r="A572" s="252"/>
      <c r="B572" s="252"/>
      <c r="C572" s="252" t="s">
        <v>1695</v>
      </c>
      <c r="D572" s="252"/>
      <c r="E572" s="296"/>
      <c r="F572" s="1080">
        <v>835.7</v>
      </c>
    </row>
    <row r="573" spans="1:6" s="1046" customFormat="1">
      <c r="A573" s="252"/>
      <c r="B573" s="252"/>
      <c r="C573" s="252"/>
      <c r="D573" s="252"/>
      <c r="E573" s="296"/>
      <c r="F573" s="407"/>
    </row>
    <row r="574" spans="1:6" s="1046" customFormat="1">
      <c r="A574" s="252">
        <v>29.5</v>
      </c>
      <c r="B574" s="252" t="s">
        <v>2251</v>
      </c>
      <c r="C574" s="252" t="s">
        <v>1813</v>
      </c>
      <c r="D574" s="252"/>
      <c r="E574" s="296"/>
      <c r="F574" s="407"/>
    </row>
    <row r="575" spans="1:6" s="1046" customFormat="1">
      <c r="A575" s="252"/>
      <c r="B575" s="252"/>
      <c r="C575" s="252" t="s">
        <v>858</v>
      </c>
      <c r="D575" s="252"/>
      <c r="E575" s="296"/>
      <c r="F575" s="407"/>
    </row>
    <row r="576" spans="1:6">
      <c r="A576" s="252"/>
      <c r="B576" s="252"/>
      <c r="C576" s="252" t="s">
        <v>1936</v>
      </c>
      <c r="D576" s="252"/>
      <c r="E576" s="252"/>
      <c r="F576" s="407"/>
    </row>
    <row r="577" spans="1:6">
      <c r="A577" s="252"/>
      <c r="B577" s="252"/>
      <c r="C577" s="252" t="s">
        <v>1586</v>
      </c>
      <c r="D577" s="252" t="s">
        <v>1586</v>
      </c>
      <c r="E577" s="252"/>
      <c r="F577" s="407"/>
    </row>
    <row r="578" spans="1:6">
      <c r="A578" s="252">
        <v>10</v>
      </c>
      <c r="B578" s="252" t="s">
        <v>609</v>
      </c>
      <c r="C578" s="252" t="s">
        <v>1937</v>
      </c>
      <c r="D578" s="252">
        <v>377.86</v>
      </c>
      <c r="E578" s="252" t="s">
        <v>609</v>
      </c>
      <c r="F578" s="407">
        <v>3778.6</v>
      </c>
    </row>
    <row r="579" spans="1:6">
      <c r="A579" s="252">
        <v>0.21</v>
      </c>
      <c r="B579" s="252" t="s">
        <v>869</v>
      </c>
      <c r="C579" s="1082" t="s">
        <v>1876</v>
      </c>
      <c r="D579" s="1083">
        <v>4756.78</v>
      </c>
      <c r="E579" s="1083" t="s">
        <v>869</v>
      </c>
      <c r="F579" s="407">
        <v>998.92</v>
      </c>
    </row>
    <row r="580" spans="1:6" ht="16.5">
      <c r="A580" s="252"/>
      <c r="B580" s="1084"/>
      <c r="C580" s="1084" t="s">
        <v>1877</v>
      </c>
      <c r="D580" s="1084" t="s">
        <v>975</v>
      </c>
      <c r="E580" s="252"/>
      <c r="F580" s="407" t="s">
        <v>975</v>
      </c>
    </row>
    <row r="581" spans="1:6">
      <c r="A581" s="252">
        <v>1.1000000000000001</v>
      </c>
      <c r="B581" s="252" t="s">
        <v>769</v>
      </c>
      <c r="C581" s="252" t="s">
        <v>2009</v>
      </c>
      <c r="D581" s="252">
        <v>999</v>
      </c>
      <c r="E581" s="252" t="s">
        <v>769</v>
      </c>
      <c r="F581" s="407">
        <v>1098.9000000000001</v>
      </c>
    </row>
    <row r="582" spans="1:6">
      <c r="A582" s="252">
        <v>1.1000000000000001</v>
      </c>
      <c r="B582" s="252" t="s">
        <v>769</v>
      </c>
      <c r="C582" s="252" t="s">
        <v>1712</v>
      </c>
      <c r="D582" s="252">
        <v>932</v>
      </c>
      <c r="E582" s="252" t="s">
        <v>769</v>
      </c>
      <c r="F582" s="407">
        <v>1025.2</v>
      </c>
    </row>
    <row r="583" spans="1:6">
      <c r="A583" s="252">
        <v>2.2000000000000002</v>
      </c>
      <c r="B583" s="252" t="s">
        <v>769</v>
      </c>
      <c r="C583" s="252" t="s">
        <v>1902</v>
      </c>
      <c r="D583" s="252">
        <v>651</v>
      </c>
      <c r="E583" s="252" t="s">
        <v>769</v>
      </c>
      <c r="F583" s="407">
        <v>1432.2</v>
      </c>
    </row>
    <row r="584" spans="1:6">
      <c r="A584" s="252">
        <v>2.2000000000000002</v>
      </c>
      <c r="B584" s="252" t="s">
        <v>769</v>
      </c>
      <c r="C584" s="252" t="s">
        <v>320</v>
      </c>
      <c r="D584" s="252">
        <v>534</v>
      </c>
      <c r="E584" s="252" t="s">
        <v>769</v>
      </c>
      <c r="F584" s="407">
        <v>1174.8</v>
      </c>
    </row>
    <row r="585" spans="1:6">
      <c r="A585" s="252">
        <v>20</v>
      </c>
      <c r="B585" s="252" t="s">
        <v>1645</v>
      </c>
      <c r="C585" s="252" t="s">
        <v>862</v>
      </c>
      <c r="D585" s="252">
        <v>6040</v>
      </c>
      <c r="E585" s="252" t="s">
        <v>861</v>
      </c>
      <c r="F585" s="407">
        <v>120.8</v>
      </c>
    </row>
    <row r="586" spans="1:6">
      <c r="A586" s="252">
        <v>2</v>
      </c>
      <c r="B586" s="252" t="s">
        <v>1645</v>
      </c>
      <c r="C586" s="252" t="s">
        <v>4228</v>
      </c>
      <c r="D586" s="252">
        <v>36.1</v>
      </c>
      <c r="E586" s="252" t="s">
        <v>1645</v>
      </c>
      <c r="F586" s="407">
        <v>72.2</v>
      </c>
    </row>
    <row r="587" spans="1:6">
      <c r="A587" s="252">
        <v>1.6</v>
      </c>
      <c r="B587" s="252" t="s">
        <v>769</v>
      </c>
      <c r="C587" s="252" t="s">
        <v>1712</v>
      </c>
      <c r="D587" s="252">
        <v>932</v>
      </c>
      <c r="E587" s="252" t="s">
        <v>769</v>
      </c>
      <c r="F587" s="407">
        <v>1491.2</v>
      </c>
    </row>
    <row r="588" spans="1:6">
      <c r="A588" s="252">
        <v>0.5</v>
      </c>
      <c r="B588" s="252" t="s">
        <v>769</v>
      </c>
      <c r="C588" s="252" t="s">
        <v>1902</v>
      </c>
      <c r="D588" s="252">
        <v>651</v>
      </c>
      <c r="E588" s="252" t="s">
        <v>769</v>
      </c>
      <c r="F588" s="407">
        <v>325.5</v>
      </c>
    </row>
    <row r="589" spans="1:6">
      <c r="A589" s="252">
        <v>1.1000000000000001</v>
      </c>
      <c r="B589" s="252" t="s">
        <v>769</v>
      </c>
      <c r="C589" s="252" t="s">
        <v>320</v>
      </c>
      <c r="D589" s="252">
        <v>534</v>
      </c>
      <c r="E589" s="252" t="s">
        <v>769</v>
      </c>
      <c r="F589" s="407">
        <v>587.4</v>
      </c>
    </row>
    <row r="590" spans="1:6">
      <c r="A590" s="252"/>
      <c r="B590" s="252" t="s">
        <v>449</v>
      </c>
      <c r="C590" s="252" t="s">
        <v>450</v>
      </c>
      <c r="D590" s="252"/>
      <c r="E590" s="252" t="s">
        <v>449</v>
      </c>
      <c r="F590" s="407">
        <v>0</v>
      </c>
    </row>
    <row r="591" spans="1:6">
      <c r="A591" s="252"/>
      <c r="B591" s="252"/>
      <c r="C591" s="252"/>
      <c r="D591" s="252"/>
      <c r="E591" s="252"/>
      <c r="F591" s="407" t="s">
        <v>1586</v>
      </c>
    </row>
    <row r="592" spans="1:6">
      <c r="A592" s="252"/>
      <c r="B592" s="252"/>
      <c r="C592" s="252" t="s">
        <v>441</v>
      </c>
      <c r="D592" s="252"/>
      <c r="E592" s="252"/>
      <c r="F592" s="407">
        <v>12105.72</v>
      </c>
    </row>
    <row r="593" spans="1:6">
      <c r="A593" s="252"/>
      <c r="B593" s="252"/>
      <c r="C593" s="252"/>
      <c r="D593" s="252"/>
      <c r="E593" s="252"/>
      <c r="F593" s="407" t="s">
        <v>1586</v>
      </c>
    </row>
    <row r="594" spans="1:6">
      <c r="A594" s="252"/>
      <c r="B594" s="252"/>
      <c r="C594" s="252" t="s">
        <v>552</v>
      </c>
      <c r="D594" s="252"/>
      <c r="E594" s="252"/>
      <c r="F594" s="1080">
        <v>1210.57</v>
      </c>
    </row>
    <row r="595" spans="1:6">
      <c r="A595" s="252"/>
      <c r="B595" s="252"/>
      <c r="C595" s="252"/>
      <c r="D595" s="252"/>
      <c r="E595" s="252"/>
      <c r="F595" s="407" t="s">
        <v>2055</v>
      </c>
    </row>
    <row r="596" spans="1:6">
      <c r="A596" s="252">
        <v>29.4</v>
      </c>
      <c r="B596" s="252" t="s">
        <v>2251</v>
      </c>
      <c r="C596" s="252" t="s">
        <v>1091</v>
      </c>
      <c r="D596" s="252"/>
      <c r="E596" s="252"/>
      <c r="F596" s="407"/>
    </row>
    <row r="597" spans="1:6">
      <c r="A597" s="252"/>
      <c r="B597" s="252"/>
      <c r="C597" s="252" t="s">
        <v>1092</v>
      </c>
      <c r="D597" s="252"/>
      <c r="E597" s="252"/>
      <c r="F597" s="407"/>
    </row>
    <row r="598" spans="1:6">
      <c r="A598" s="252"/>
      <c r="B598" s="252"/>
      <c r="C598" s="252" t="s">
        <v>1586</v>
      </c>
      <c r="D598" s="252"/>
      <c r="E598" s="252"/>
      <c r="F598" s="407"/>
    </row>
    <row r="599" spans="1:6">
      <c r="A599" s="252">
        <v>1.86</v>
      </c>
      <c r="B599" s="252" t="s">
        <v>609</v>
      </c>
      <c r="C599" s="252" t="s">
        <v>1093</v>
      </c>
      <c r="D599" s="252">
        <v>415</v>
      </c>
      <c r="E599" s="252" t="s">
        <v>609</v>
      </c>
      <c r="F599" s="407">
        <v>771.9</v>
      </c>
    </row>
    <row r="600" spans="1:6">
      <c r="A600" s="252">
        <v>0.4</v>
      </c>
      <c r="B600" s="252" t="s">
        <v>1645</v>
      </c>
      <c r="C600" s="252" t="s">
        <v>2081</v>
      </c>
      <c r="D600" s="252">
        <v>36.1</v>
      </c>
      <c r="E600" s="252" t="s">
        <v>1645</v>
      </c>
      <c r="F600" s="407">
        <v>14.44</v>
      </c>
    </row>
    <row r="601" spans="1:6">
      <c r="A601" s="252">
        <v>0.02</v>
      </c>
      <c r="B601" s="252" t="s">
        <v>869</v>
      </c>
      <c r="C601" s="252" t="s">
        <v>417</v>
      </c>
      <c r="D601" s="252">
        <v>6206.38</v>
      </c>
      <c r="E601" s="252" t="s">
        <v>869</v>
      </c>
      <c r="F601" s="407">
        <v>124.13</v>
      </c>
    </row>
    <row r="602" spans="1:6">
      <c r="A602" s="252">
        <v>1</v>
      </c>
      <c r="B602" s="252" t="s">
        <v>769</v>
      </c>
      <c r="C602" s="252" t="s">
        <v>2009</v>
      </c>
      <c r="D602" s="252">
        <v>999</v>
      </c>
      <c r="E602" s="252" t="s">
        <v>769</v>
      </c>
      <c r="F602" s="407">
        <v>999</v>
      </c>
    </row>
    <row r="603" spans="1:6">
      <c r="A603" s="252">
        <v>1</v>
      </c>
      <c r="B603" s="252" t="s">
        <v>769</v>
      </c>
      <c r="C603" s="252" t="s">
        <v>1688</v>
      </c>
      <c r="D603" s="252">
        <v>651</v>
      </c>
      <c r="E603" s="252" t="s">
        <v>769</v>
      </c>
      <c r="F603" s="407">
        <v>651</v>
      </c>
    </row>
    <row r="604" spans="1:6">
      <c r="A604" s="252"/>
      <c r="B604" s="252" t="s">
        <v>449</v>
      </c>
      <c r="C604" s="252" t="s">
        <v>450</v>
      </c>
      <c r="D604" s="252"/>
      <c r="E604" s="252" t="s">
        <v>449</v>
      </c>
      <c r="F604" s="407"/>
    </row>
    <row r="605" spans="1:6">
      <c r="A605" s="252"/>
      <c r="B605" s="252"/>
      <c r="C605" s="252"/>
      <c r="D605" s="252"/>
      <c r="E605" s="252"/>
      <c r="F605" s="407" t="s">
        <v>1586</v>
      </c>
    </row>
    <row r="606" spans="1:6">
      <c r="A606" s="252"/>
      <c r="B606" s="252"/>
      <c r="C606" s="252" t="s">
        <v>1689</v>
      </c>
      <c r="D606" s="252"/>
      <c r="E606" s="252"/>
      <c r="F606" s="407">
        <v>2560.4699999999998</v>
      </c>
    </row>
    <row r="607" spans="1:6">
      <c r="A607" s="252"/>
      <c r="B607" s="252"/>
      <c r="C607" s="252"/>
      <c r="D607" s="252"/>
      <c r="E607" s="252"/>
      <c r="F607" s="407" t="s">
        <v>1586</v>
      </c>
    </row>
    <row r="608" spans="1:6">
      <c r="A608" s="252"/>
      <c r="B608" s="252"/>
      <c r="C608" s="252" t="s">
        <v>552</v>
      </c>
      <c r="D608" s="252"/>
      <c r="E608" s="252"/>
      <c r="F608" s="1080">
        <v>1376.6</v>
      </c>
    </row>
    <row r="609" spans="1:6">
      <c r="A609" s="252"/>
      <c r="B609" s="252"/>
      <c r="C609" s="252"/>
      <c r="D609" s="252"/>
      <c r="E609" s="252"/>
      <c r="F609" s="407" t="s">
        <v>2055</v>
      </c>
    </row>
    <row r="610" spans="1:6">
      <c r="A610" s="252">
        <v>52</v>
      </c>
      <c r="B610" s="252" t="s">
        <v>2251</v>
      </c>
      <c r="C610" s="252" t="s">
        <v>99</v>
      </c>
      <c r="D610" s="252"/>
      <c r="E610" s="252"/>
      <c r="F610" s="407"/>
    </row>
    <row r="611" spans="1:6">
      <c r="A611" s="252"/>
      <c r="B611" s="252"/>
      <c r="C611" s="252" t="s">
        <v>2169</v>
      </c>
      <c r="D611" s="252"/>
      <c r="E611" s="252"/>
      <c r="F611" s="407"/>
    </row>
    <row r="612" spans="1:6">
      <c r="A612" s="252"/>
      <c r="B612" s="252"/>
      <c r="C612" s="252" t="s">
        <v>2170</v>
      </c>
      <c r="D612" s="252"/>
      <c r="E612" s="252"/>
      <c r="F612" s="407"/>
    </row>
    <row r="613" spans="1:6">
      <c r="A613" s="252"/>
      <c r="B613" s="252"/>
      <c r="C613" s="252" t="s">
        <v>1406</v>
      </c>
      <c r="D613" s="252"/>
      <c r="E613" s="252"/>
      <c r="F613" s="407"/>
    </row>
    <row r="614" spans="1:6">
      <c r="A614" s="252"/>
      <c r="B614" s="252"/>
      <c r="C614" s="252" t="s">
        <v>1407</v>
      </c>
      <c r="D614" s="252"/>
      <c r="E614" s="252"/>
      <c r="F614" s="407"/>
    </row>
    <row r="615" spans="1:6">
      <c r="A615" s="252"/>
      <c r="B615" s="252"/>
      <c r="C615" s="252" t="s">
        <v>1351</v>
      </c>
      <c r="D615" s="252"/>
      <c r="E615" s="252"/>
      <c r="F615" s="407"/>
    </row>
    <row r="616" spans="1:6">
      <c r="A616" s="252"/>
      <c r="B616" s="252"/>
      <c r="C616" s="252" t="s">
        <v>1352</v>
      </c>
      <c r="D616" s="252"/>
      <c r="E616" s="252"/>
      <c r="F616" s="407"/>
    </row>
    <row r="617" spans="1:6">
      <c r="A617" s="252"/>
      <c r="B617" s="252"/>
      <c r="C617" s="252" t="s">
        <v>710</v>
      </c>
      <c r="D617" s="252"/>
      <c r="E617" s="252"/>
      <c r="F617" s="407"/>
    </row>
    <row r="618" spans="1:6">
      <c r="A618" s="252"/>
      <c r="B618" s="252"/>
      <c r="C618" s="252" t="s">
        <v>2055</v>
      </c>
      <c r="D618" s="252" t="s">
        <v>2055</v>
      </c>
      <c r="E618" s="252"/>
      <c r="F618" s="407"/>
    </row>
    <row r="619" spans="1:6">
      <c r="A619" s="252"/>
      <c r="B619" s="252" t="s">
        <v>2251</v>
      </c>
      <c r="C619" s="252" t="s">
        <v>918</v>
      </c>
      <c r="D619" s="252"/>
      <c r="E619" s="252"/>
      <c r="F619" s="407"/>
    </row>
    <row r="620" spans="1:6">
      <c r="A620" s="252"/>
      <c r="B620" s="252"/>
      <c r="C620" s="252" t="s">
        <v>806</v>
      </c>
      <c r="D620" s="252"/>
      <c r="E620" s="252"/>
      <c r="F620" s="407"/>
    </row>
    <row r="621" spans="1:6">
      <c r="A621" s="252"/>
      <c r="B621" s="252" t="s">
        <v>316</v>
      </c>
      <c r="C621" s="252" t="s">
        <v>807</v>
      </c>
      <c r="D621" s="252"/>
      <c r="E621" s="252"/>
      <c r="F621" s="407"/>
    </row>
    <row r="622" spans="1:6">
      <c r="A622" s="252"/>
      <c r="B622" s="252"/>
      <c r="C622" s="252" t="s">
        <v>1586</v>
      </c>
      <c r="D622" s="252"/>
      <c r="E622" s="252"/>
      <c r="F622" s="407"/>
    </row>
    <row r="623" spans="1:6">
      <c r="A623" s="252">
        <v>1</v>
      </c>
      <c r="B623" s="252" t="s">
        <v>826</v>
      </c>
      <c r="C623" s="252" t="s">
        <v>618</v>
      </c>
      <c r="D623" s="252">
        <v>26</v>
      </c>
      <c r="E623" s="252" t="s">
        <v>826</v>
      </c>
      <c r="F623" s="407">
        <v>26</v>
      </c>
    </row>
    <row r="624" spans="1:6">
      <c r="A624" s="252">
        <v>1</v>
      </c>
      <c r="B624" s="252" t="s">
        <v>449</v>
      </c>
      <c r="C624" s="252" t="s">
        <v>1801</v>
      </c>
      <c r="D624" s="252">
        <v>18.2</v>
      </c>
      <c r="E624" s="252" t="s">
        <v>449</v>
      </c>
      <c r="F624" s="407">
        <v>18.2</v>
      </c>
    </row>
    <row r="625" spans="1:6">
      <c r="A625" s="252">
        <v>1</v>
      </c>
      <c r="B625" s="252" t="s">
        <v>826</v>
      </c>
      <c r="C625" s="252" t="s">
        <v>161</v>
      </c>
      <c r="D625" s="252">
        <v>185.41</v>
      </c>
      <c r="E625" s="252" t="s">
        <v>826</v>
      </c>
      <c r="F625" s="407">
        <v>185.41</v>
      </c>
    </row>
    <row r="626" spans="1:6">
      <c r="A626" s="252"/>
      <c r="B626" s="252"/>
      <c r="C626" s="252"/>
      <c r="D626" s="252" t="s">
        <v>975</v>
      </c>
      <c r="E626" s="252"/>
      <c r="F626" s="407" t="s">
        <v>1586</v>
      </c>
    </row>
    <row r="627" spans="1:6">
      <c r="A627" s="252"/>
      <c r="B627" s="252"/>
      <c r="C627" s="252" t="s">
        <v>377</v>
      </c>
      <c r="D627" s="252"/>
      <c r="E627" s="252"/>
      <c r="F627" s="407">
        <v>229.61</v>
      </c>
    </row>
    <row r="628" spans="1:6">
      <c r="A628" s="252"/>
      <c r="B628" s="252"/>
      <c r="C628" s="252" t="s">
        <v>975</v>
      </c>
      <c r="D628" s="252" t="s">
        <v>975</v>
      </c>
      <c r="E628" s="252"/>
      <c r="F628" s="407" t="s">
        <v>2055</v>
      </c>
    </row>
    <row r="629" spans="1:6">
      <c r="A629" s="252"/>
      <c r="B629" s="252" t="s">
        <v>520</v>
      </c>
      <c r="C629" s="252" t="s">
        <v>742</v>
      </c>
      <c r="D629" s="252"/>
      <c r="E629" s="252"/>
      <c r="F629" s="407"/>
    </row>
    <row r="630" spans="1:6">
      <c r="A630" s="252"/>
      <c r="B630" s="252"/>
      <c r="C630" s="252" t="s">
        <v>1586</v>
      </c>
      <c r="D630" s="252"/>
      <c r="E630" s="252"/>
      <c r="F630" s="407"/>
    </row>
    <row r="631" spans="1:6">
      <c r="A631" s="252">
        <v>1</v>
      </c>
      <c r="B631" s="252" t="s">
        <v>826</v>
      </c>
      <c r="C631" s="252" t="s">
        <v>743</v>
      </c>
      <c r="D631" s="252">
        <v>35</v>
      </c>
      <c r="E631" s="252" t="s">
        <v>826</v>
      </c>
      <c r="F631" s="407">
        <v>35</v>
      </c>
    </row>
    <row r="632" spans="1:6">
      <c r="A632" s="252">
        <v>1</v>
      </c>
      <c r="B632" s="252" t="s">
        <v>449</v>
      </c>
      <c r="C632" s="252" t="s">
        <v>893</v>
      </c>
      <c r="D632" s="252">
        <v>14</v>
      </c>
      <c r="E632" s="252" t="s">
        <v>449</v>
      </c>
      <c r="F632" s="407">
        <v>14</v>
      </c>
    </row>
    <row r="633" spans="1:6">
      <c r="A633" s="252">
        <v>1</v>
      </c>
      <c r="B633" s="252" t="s">
        <v>826</v>
      </c>
      <c r="C633" s="252" t="s">
        <v>161</v>
      </c>
      <c r="D633" s="252">
        <v>185.4</v>
      </c>
      <c r="E633" s="252" t="s">
        <v>826</v>
      </c>
      <c r="F633" s="407">
        <v>185.4</v>
      </c>
    </row>
    <row r="634" spans="1:6">
      <c r="A634" s="252"/>
      <c r="B634" s="252"/>
      <c r="C634" s="252"/>
      <c r="D634" s="252" t="s">
        <v>975</v>
      </c>
      <c r="E634" s="252"/>
      <c r="F634" s="407" t="s">
        <v>1586</v>
      </c>
    </row>
    <row r="635" spans="1:6">
      <c r="A635" s="252"/>
      <c r="B635" s="252"/>
      <c r="C635" s="252" t="s">
        <v>377</v>
      </c>
      <c r="D635" s="252"/>
      <c r="E635" s="252"/>
      <c r="F635" s="1080">
        <v>234.4</v>
      </c>
    </row>
    <row r="636" spans="1:6">
      <c r="A636" s="252"/>
      <c r="B636" s="252"/>
      <c r="C636" s="252"/>
      <c r="D636" s="252" t="s">
        <v>975</v>
      </c>
      <c r="E636" s="252"/>
      <c r="F636" s="407" t="s">
        <v>2055</v>
      </c>
    </row>
    <row r="637" spans="1:6">
      <c r="A637" s="252"/>
      <c r="B637" s="252" t="s">
        <v>1907</v>
      </c>
      <c r="C637" s="252" t="s">
        <v>375</v>
      </c>
      <c r="D637" s="252"/>
      <c r="E637" s="252"/>
      <c r="F637" s="407"/>
    </row>
    <row r="638" spans="1:6">
      <c r="A638" s="252"/>
      <c r="B638" s="252"/>
      <c r="C638" s="252" t="s">
        <v>1586</v>
      </c>
      <c r="D638" s="252"/>
      <c r="E638" s="252"/>
      <c r="F638" s="407"/>
    </row>
    <row r="639" spans="1:6">
      <c r="A639" s="252">
        <v>1</v>
      </c>
      <c r="B639" s="252" t="s">
        <v>826</v>
      </c>
      <c r="C639" s="252" t="s">
        <v>1671</v>
      </c>
      <c r="D639" s="252">
        <v>52</v>
      </c>
      <c r="E639" s="252" t="s">
        <v>826</v>
      </c>
      <c r="F639" s="407">
        <v>52</v>
      </c>
    </row>
    <row r="640" spans="1:6">
      <c r="A640" s="252">
        <v>1</v>
      </c>
      <c r="B640" s="252" t="s">
        <v>449</v>
      </c>
      <c r="C640" s="252" t="s">
        <v>1672</v>
      </c>
      <c r="D640" s="252">
        <v>10.4</v>
      </c>
      <c r="E640" s="252" t="s">
        <v>449</v>
      </c>
      <c r="F640" s="407">
        <v>10.4</v>
      </c>
    </row>
    <row r="641" spans="1:6">
      <c r="A641" s="252">
        <v>1</v>
      </c>
      <c r="B641" s="252" t="s">
        <v>826</v>
      </c>
      <c r="C641" s="252" t="s">
        <v>161</v>
      </c>
      <c r="D641" s="252">
        <v>189.61</v>
      </c>
      <c r="E641" s="252" t="s">
        <v>826</v>
      </c>
      <c r="F641" s="407">
        <v>189.61</v>
      </c>
    </row>
    <row r="642" spans="1:6">
      <c r="A642" s="252"/>
      <c r="B642" s="252"/>
      <c r="C642" s="252"/>
      <c r="D642" s="252" t="s">
        <v>975</v>
      </c>
      <c r="E642" s="252"/>
      <c r="F642" s="407" t="s">
        <v>1586</v>
      </c>
    </row>
    <row r="643" spans="1:6">
      <c r="A643" s="252"/>
      <c r="B643" s="252"/>
      <c r="C643" s="252" t="s">
        <v>377</v>
      </c>
      <c r="D643" s="252"/>
      <c r="E643" s="252"/>
      <c r="F643" s="1080">
        <v>252.01</v>
      </c>
    </row>
    <row r="644" spans="1:6">
      <c r="A644" s="252"/>
      <c r="B644" s="252"/>
      <c r="C644" s="252"/>
      <c r="D644" s="252" t="s">
        <v>975</v>
      </c>
      <c r="E644" s="252"/>
      <c r="F644" s="407" t="s">
        <v>2055</v>
      </c>
    </row>
    <row r="645" spans="1:6">
      <c r="A645" s="252"/>
      <c r="B645" s="252" t="s">
        <v>316</v>
      </c>
      <c r="C645" s="252" t="s">
        <v>807</v>
      </c>
      <c r="D645" s="252"/>
      <c r="E645" s="252"/>
      <c r="F645" s="407"/>
    </row>
    <row r="646" spans="1:6">
      <c r="A646" s="252"/>
      <c r="B646" s="252"/>
      <c r="C646" s="252" t="s">
        <v>1586</v>
      </c>
      <c r="D646" s="252"/>
      <c r="E646" s="252"/>
      <c r="F646" s="407"/>
    </row>
    <row r="647" spans="1:6">
      <c r="A647" s="252">
        <v>1</v>
      </c>
      <c r="B647" s="252" t="s">
        <v>826</v>
      </c>
      <c r="C647" s="252" t="s">
        <v>618</v>
      </c>
      <c r="D647" s="252">
        <v>26</v>
      </c>
      <c r="E647" s="252" t="s">
        <v>826</v>
      </c>
      <c r="F647" s="407">
        <v>26</v>
      </c>
    </row>
    <row r="648" spans="1:6">
      <c r="A648" s="252">
        <v>1</v>
      </c>
      <c r="B648" s="252" t="s">
        <v>449</v>
      </c>
      <c r="C648" s="252" t="s">
        <v>1801</v>
      </c>
      <c r="D648" s="252">
        <v>18.2</v>
      </c>
      <c r="E648" s="252" t="s">
        <v>449</v>
      </c>
      <c r="F648" s="407">
        <v>18.2</v>
      </c>
    </row>
    <row r="649" spans="1:6">
      <c r="A649" s="252">
        <v>1</v>
      </c>
      <c r="B649" s="252" t="s">
        <v>826</v>
      </c>
      <c r="C649" s="252" t="s">
        <v>161</v>
      </c>
      <c r="D649" s="252">
        <v>185.41</v>
      </c>
      <c r="E649" s="252" t="s">
        <v>826</v>
      </c>
      <c r="F649" s="407">
        <v>185.41</v>
      </c>
    </row>
    <row r="650" spans="1:6">
      <c r="A650" s="252"/>
      <c r="B650" s="252"/>
      <c r="C650" s="252"/>
      <c r="D650" s="252" t="s">
        <v>975</v>
      </c>
      <c r="E650" s="252"/>
      <c r="F650" s="407" t="s">
        <v>1586</v>
      </c>
    </row>
    <row r="651" spans="1:6">
      <c r="A651" s="252"/>
      <c r="B651" s="252"/>
      <c r="C651" s="252" t="s">
        <v>377</v>
      </c>
      <c r="D651" s="252"/>
      <c r="E651" s="252"/>
      <c r="F651" s="1080">
        <v>229.61</v>
      </c>
    </row>
    <row r="652" spans="1:6">
      <c r="A652" s="252"/>
      <c r="B652" s="252"/>
      <c r="C652" s="252"/>
      <c r="D652" s="252"/>
      <c r="E652" s="252"/>
      <c r="F652" s="407"/>
    </row>
    <row r="653" spans="1:6">
      <c r="A653" s="252"/>
      <c r="B653" s="296" t="s">
        <v>2251</v>
      </c>
      <c r="C653" s="296" t="s">
        <v>1040</v>
      </c>
      <c r="D653" s="252"/>
      <c r="E653" s="252"/>
      <c r="F653" s="252"/>
    </row>
    <row r="654" spans="1:6">
      <c r="A654" s="252"/>
      <c r="B654" s="252"/>
      <c r="C654" s="358" t="s">
        <v>1586</v>
      </c>
      <c r="D654" s="252"/>
      <c r="E654" s="252"/>
      <c r="F654" s="252"/>
    </row>
    <row r="655" spans="1:6">
      <c r="A655" s="252">
        <v>0.22</v>
      </c>
      <c r="B655" s="296" t="s">
        <v>869</v>
      </c>
      <c r="C655" s="296" t="s">
        <v>1353</v>
      </c>
      <c r="D655" s="252">
        <f>(Data!K32)</f>
        <v>4756.78</v>
      </c>
      <c r="E655" s="296" t="s">
        <v>869</v>
      </c>
      <c r="F655" s="252">
        <f>(A655*D655)</f>
        <v>1046.49</v>
      </c>
    </row>
    <row r="656" spans="1:6">
      <c r="A656" s="252">
        <v>2.2000000000000002</v>
      </c>
      <c r="B656" s="296" t="s">
        <v>868</v>
      </c>
      <c r="C656" s="296" t="s">
        <v>2009</v>
      </c>
      <c r="D656" s="252">
        <f>(Data!C10)</f>
        <v>999</v>
      </c>
      <c r="E656" s="296" t="s">
        <v>868</v>
      </c>
      <c r="F656" s="252">
        <f>(A656*D656)</f>
        <v>2197.8000000000002</v>
      </c>
    </row>
    <row r="657" spans="1:6">
      <c r="A657" s="252">
        <v>0.5</v>
      </c>
      <c r="B657" s="296" t="s">
        <v>868</v>
      </c>
      <c r="C657" s="296" t="s">
        <v>1902</v>
      </c>
      <c r="D657" s="252">
        <f>(Data!C12)</f>
        <v>651</v>
      </c>
      <c r="E657" s="296" t="s">
        <v>868</v>
      </c>
      <c r="F657" s="252">
        <f>(A657*D657)</f>
        <v>325.5</v>
      </c>
    </row>
    <row r="658" spans="1:6">
      <c r="A658" s="252">
        <v>3.2</v>
      </c>
      <c r="B658" s="296" t="s">
        <v>868</v>
      </c>
      <c r="C658" s="296" t="s">
        <v>320</v>
      </c>
      <c r="D658" s="252">
        <f>(Data!C13)</f>
        <v>534</v>
      </c>
      <c r="E658" s="296" t="s">
        <v>868</v>
      </c>
      <c r="F658" s="252">
        <f>(A658*D658)</f>
        <v>1708.8</v>
      </c>
    </row>
    <row r="659" spans="1:6">
      <c r="A659" s="252"/>
      <c r="B659" s="296" t="s">
        <v>449</v>
      </c>
      <c r="C659" s="296" t="s">
        <v>450</v>
      </c>
      <c r="D659" s="296" t="s">
        <v>975</v>
      </c>
      <c r="E659" s="296" t="s">
        <v>449</v>
      </c>
      <c r="F659" s="252">
        <v>0</v>
      </c>
    </row>
    <row r="660" spans="1:6">
      <c r="A660" s="252"/>
      <c r="B660" s="252"/>
      <c r="C660" s="252"/>
      <c r="D660" s="252"/>
      <c r="E660" s="252"/>
      <c r="F660" s="358" t="s">
        <v>1586</v>
      </c>
    </row>
    <row r="661" spans="1:6">
      <c r="A661" s="252"/>
      <c r="B661" s="252"/>
      <c r="C661" s="296" t="s">
        <v>441</v>
      </c>
      <c r="D661" s="252"/>
      <c r="E661" s="252"/>
      <c r="F661" s="252">
        <f>SUM(F655:F659)</f>
        <v>5278.59</v>
      </c>
    </row>
    <row r="662" spans="1:6">
      <c r="A662" s="252"/>
      <c r="B662" s="252"/>
      <c r="C662" s="252"/>
      <c r="D662" s="252"/>
      <c r="E662" s="252"/>
      <c r="F662" s="358" t="s">
        <v>1586</v>
      </c>
    </row>
    <row r="663" spans="1:6">
      <c r="A663" s="252"/>
      <c r="B663" s="252"/>
      <c r="C663" s="296" t="s">
        <v>552</v>
      </c>
      <c r="D663" s="252"/>
      <c r="E663" s="252"/>
      <c r="F663" s="252">
        <f>(F661/10)</f>
        <v>527.86</v>
      </c>
    </row>
    <row r="664" spans="1:6">
      <c r="A664" s="252"/>
      <c r="B664" s="252"/>
      <c r="C664" s="252"/>
      <c r="D664" s="252"/>
      <c r="E664" s="252"/>
      <c r="F664" s="358" t="s">
        <v>2055</v>
      </c>
    </row>
    <row r="665" spans="1:6">
      <c r="A665" s="252"/>
      <c r="B665" s="252"/>
      <c r="C665" s="252"/>
      <c r="D665" s="252"/>
      <c r="E665" s="252"/>
      <c r="F665" s="358"/>
    </row>
    <row r="666" spans="1:6">
      <c r="A666" s="253" t="s">
        <v>1938</v>
      </c>
      <c r="B666" s="252" t="s">
        <v>2251</v>
      </c>
      <c r="C666" s="276" t="s">
        <v>6111</v>
      </c>
      <c r="D666" s="252"/>
      <c r="E666" s="296"/>
      <c r="F666" s="252"/>
    </row>
    <row r="667" spans="1:6">
      <c r="A667" s="252"/>
      <c r="B667" s="252"/>
      <c r="C667" s="296" t="s">
        <v>1939</v>
      </c>
      <c r="D667" s="252"/>
      <c r="E667" s="296"/>
      <c r="F667" s="252"/>
    </row>
    <row r="668" spans="1:6">
      <c r="A668" s="252"/>
      <c r="B668" s="252"/>
      <c r="C668" s="296" t="s">
        <v>1940</v>
      </c>
      <c r="D668" s="252"/>
      <c r="E668" s="296"/>
      <c r="F668" s="252"/>
    </row>
    <row r="669" spans="1:6">
      <c r="A669" s="252"/>
      <c r="B669" s="252"/>
      <c r="C669" s="296" t="s">
        <v>756</v>
      </c>
      <c r="D669" s="252"/>
      <c r="E669" s="296"/>
      <c r="F669" s="252"/>
    </row>
    <row r="670" spans="1:6">
      <c r="A670" s="252"/>
      <c r="B670" s="252"/>
      <c r="C670" s="296" t="s">
        <v>749</v>
      </c>
      <c r="D670" s="252"/>
      <c r="E670" s="296"/>
      <c r="F670" s="252"/>
    </row>
    <row r="671" spans="1:6">
      <c r="A671" s="252"/>
      <c r="B671" s="252"/>
      <c r="C671" s="358" t="s">
        <v>1586</v>
      </c>
      <c r="D671" s="252"/>
      <c r="E671" s="296"/>
      <c r="F671" s="252"/>
    </row>
    <row r="672" spans="1:6">
      <c r="A672" s="252">
        <v>12.8</v>
      </c>
      <c r="B672" s="252" t="s">
        <v>869</v>
      </c>
      <c r="C672" s="296" t="s">
        <v>750</v>
      </c>
      <c r="D672" s="252">
        <f>(Data!C82)</f>
        <v>801.98</v>
      </c>
      <c r="E672" s="296" t="s">
        <v>869</v>
      </c>
      <c r="F672" s="252">
        <f>(A672*D672)</f>
        <v>10265.34</v>
      </c>
    </row>
    <row r="673" spans="1:6">
      <c r="A673" s="252">
        <v>5</v>
      </c>
      <c r="B673" s="252" t="s">
        <v>869</v>
      </c>
      <c r="C673" s="296" t="s">
        <v>751</v>
      </c>
      <c r="D673" s="252">
        <f>(Data!C85)</f>
        <v>1016.97</v>
      </c>
      <c r="E673" s="296" t="s">
        <v>869</v>
      </c>
      <c r="F673" s="252">
        <f>(A673*D673)</f>
        <v>5084.8500000000004</v>
      </c>
    </row>
    <row r="674" spans="1:6">
      <c r="A674" s="252">
        <v>1.8</v>
      </c>
      <c r="B674" s="252" t="s">
        <v>769</v>
      </c>
      <c r="C674" s="296" t="s">
        <v>2009</v>
      </c>
      <c r="D674" s="252">
        <f>(Data!C10)</f>
        <v>999</v>
      </c>
      <c r="E674" s="296" t="s">
        <v>769</v>
      </c>
      <c r="F674" s="252">
        <f>(A674*D674)</f>
        <v>1798.2</v>
      </c>
    </row>
    <row r="675" spans="1:6">
      <c r="A675" s="252">
        <v>17.7</v>
      </c>
      <c r="B675" s="252" t="s">
        <v>769</v>
      </c>
      <c r="C675" s="296" t="s">
        <v>934</v>
      </c>
      <c r="D675" s="252">
        <f>(Data!C12)</f>
        <v>651</v>
      </c>
      <c r="E675" s="296" t="s">
        <v>769</v>
      </c>
      <c r="F675" s="252">
        <f>(A675*D675)</f>
        <v>11522.7</v>
      </c>
    </row>
    <row r="676" spans="1:6">
      <c r="A676" s="252">
        <v>14.1</v>
      </c>
      <c r="B676" s="252" t="s">
        <v>769</v>
      </c>
      <c r="C676" s="296" t="s">
        <v>320</v>
      </c>
      <c r="D676" s="252">
        <f>(Data!C13)</f>
        <v>534</v>
      </c>
      <c r="E676" s="296" t="s">
        <v>769</v>
      </c>
      <c r="F676" s="252">
        <f>(A676*D676)</f>
        <v>7529.4</v>
      </c>
    </row>
    <row r="677" spans="1:6">
      <c r="A677" s="252"/>
      <c r="B677" s="252" t="s">
        <v>449</v>
      </c>
      <c r="C677" s="296" t="s">
        <v>450</v>
      </c>
      <c r="D677" s="252"/>
      <c r="E677" s="296" t="s">
        <v>449</v>
      </c>
      <c r="F677" s="252">
        <v>0</v>
      </c>
    </row>
    <row r="678" spans="1:6">
      <c r="A678" s="252"/>
      <c r="B678" s="252"/>
      <c r="C678" s="252"/>
      <c r="D678" s="252"/>
      <c r="E678" s="296"/>
      <c r="F678" s="358" t="s">
        <v>1586</v>
      </c>
    </row>
    <row r="679" spans="1:6">
      <c r="A679" s="252"/>
      <c r="B679" s="252"/>
      <c r="C679" s="296" t="s">
        <v>614</v>
      </c>
      <c r="D679" s="252"/>
      <c r="E679" s="296"/>
      <c r="F679" s="252">
        <f>SUM(F672:F678)</f>
        <v>36200.49</v>
      </c>
    </row>
    <row r="680" spans="1:6">
      <c r="A680" s="252"/>
      <c r="B680" s="252"/>
      <c r="C680" s="252"/>
      <c r="D680" s="252"/>
      <c r="E680" s="296"/>
      <c r="F680" s="358" t="s">
        <v>1586</v>
      </c>
    </row>
    <row r="681" spans="1:6">
      <c r="A681" s="252"/>
      <c r="B681" s="252"/>
      <c r="C681" s="255" t="s">
        <v>773</v>
      </c>
      <c r="D681" s="252"/>
      <c r="E681" s="296"/>
      <c r="F681" s="274">
        <f>(F679/10)</f>
        <v>3620.05</v>
      </c>
    </row>
    <row r="682" spans="1:6">
      <c r="A682" s="252"/>
      <c r="B682" s="252"/>
      <c r="C682" s="252"/>
      <c r="D682" s="252"/>
      <c r="E682" s="296"/>
      <c r="F682" s="358" t="s">
        <v>2055</v>
      </c>
    </row>
    <row r="683" spans="1:6">
      <c r="A683" s="252"/>
      <c r="B683" s="252"/>
      <c r="C683" s="252"/>
      <c r="D683" s="252"/>
      <c r="E683" s="252"/>
      <c r="F683" s="358"/>
    </row>
    <row r="684" spans="1:6">
      <c r="A684" s="252"/>
      <c r="B684" s="252"/>
      <c r="C684" s="252"/>
      <c r="D684" s="252"/>
      <c r="E684" s="252"/>
      <c r="F684" s="358"/>
    </row>
    <row r="685" spans="1:6">
      <c r="A685" s="252"/>
      <c r="B685" s="252"/>
      <c r="C685" s="252"/>
      <c r="D685" s="252"/>
      <c r="E685" s="252"/>
      <c r="F685" s="358"/>
    </row>
    <row r="686" spans="1:6">
      <c r="A686" s="252"/>
      <c r="B686" s="252"/>
      <c r="C686" s="252"/>
      <c r="D686" s="252"/>
      <c r="E686" s="252"/>
      <c r="F686" s="407"/>
    </row>
    <row r="687" spans="1:6">
      <c r="A687" s="252"/>
      <c r="B687" s="252"/>
      <c r="C687" s="252"/>
      <c r="D687" s="252"/>
      <c r="E687" s="252"/>
      <c r="F687" s="407"/>
    </row>
    <row r="688" spans="1:6">
      <c r="A688" s="252"/>
      <c r="B688" s="252"/>
      <c r="C688" s="252"/>
      <c r="D688" s="252"/>
      <c r="E688" s="252"/>
      <c r="F688" s="407"/>
    </row>
    <row r="689" spans="1:6">
      <c r="A689" s="252"/>
      <c r="B689" s="252"/>
      <c r="C689" s="252"/>
      <c r="D689" s="252"/>
      <c r="E689" s="252"/>
      <c r="F689" s="407"/>
    </row>
    <row r="690" spans="1:6">
      <c r="A690" s="252"/>
      <c r="B690" s="252" t="s">
        <v>6601</v>
      </c>
      <c r="C690" s="1085" t="s">
        <v>6602</v>
      </c>
      <c r="D690" s="252" t="s">
        <v>6603</v>
      </c>
      <c r="E690" s="252"/>
      <c r="F690" s="407"/>
    </row>
    <row r="691" spans="1:6">
      <c r="A691" s="252"/>
      <c r="B691" s="252"/>
      <c r="C691" s="252"/>
      <c r="D691" s="252"/>
      <c r="E691" s="252"/>
      <c r="F691" s="407"/>
    </row>
    <row r="692" spans="1:6">
      <c r="A692" s="252"/>
      <c r="B692" s="252"/>
      <c r="C692" s="252"/>
      <c r="D692" s="252"/>
      <c r="E692" s="252"/>
      <c r="F692" s="407"/>
    </row>
    <row r="693" spans="1:6">
      <c r="A693" s="252"/>
      <c r="B693" s="252"/>
      <c r="C693" s="252"/>
      <c r="D693" s="252"/>
      <c r="E693" s="252"/>
      <c r="F693" s="407"/>
    </row>
    <row r="694" spans="1:6">
      <c r="A694" s="252"/>
      <c r="B694" s="252"/>
      <c r="C694" s="252"/>
      <c r="D694" s="252"/>
      <c r="E694" s="252"/>
      <c r="F694" s="407"/>
    </row>
    <row r="695" spans="1:6">
      <c r="A695" s="252"/>
      <c r="B695" s="252"/>
      <c r="C695" s="252"/>
      <c r="D695" s="252"/>
      <c r="E695" s="252"/>
      <c r="F695" s="407"/>
    </row>
    <row r="696" spans="1:6">
      <c r="A696" s="252"/>
      <c r="B696" s="252"/>
      <c r="C696" s="252"/>
      <c r="D696" s="252"/>
      <c r="E696" s="252"/>
      <c r="F696" s="407"/>
    </row>
    <row r="697" spans="1:6">
      <c r="A697" s="252"/>
      <c r="B697" s="252"/>
      <c r="C697" s="252"/>
      <c r="D697" s="252"/>
      <c r="E697" s="252"/>
      <c r="F697" s="407"/>
    </row>
    <row r="698" spans="1:6">
      <c r="A698" s="252"/>
      <c r="B698" s="252"/>
      <c r="C698" s="252"/>
      <c r="D698" s="252"/>
      <c r="E698" s="252"/>
      <c r="F698" s="407"/>
    </row>
    <row r="699" spans="1:6">
      <c r="A699" s="252"/>
      <c r="B699" s="252"/>
      <c r="C699" s="252"/>
      <c r="D699" s="252"/>
      <c r="E699" s="252"/>
      <c r="F699" s="407"/>
    </row>
    <row r="700" spans="1:6">
      <c r="A700" s="252"/>
      <c r="B700" s="252"/>
      <c r="C700" s="252"/>
      <c r="D700" s="252"/>
      <c r="E700" s="252"/>
      <c r="F700" s="407"/>
    </row>
    <row r="701" spans="1:6">
      <c r="A701" s="252"/>
      <c r="B701" s="252"/>
      <c r="C701" s="252"/>
      <c r="D701" s="252"/>
      <c r="E701" s="252"/>
      <c r="F701" s="407"/>
    </row>
    <row r="702" spans="1:6">
      <c r="A702" s="252"/>
      <c r="B702" s="252"/>
      <c r="C702" s="252"/>
      <c r="D702" s="252"/>
      <c r="E702" s="252"/>
      <c r="F702" s="407"/>
    </row>
    <row r="703" spans="1:6">
      <c r="A703" s="252"/>
      <c r="B703" s="252"/>
      <c r="C703" s="252"/>
      <c r="D703" s="252"/>
      <c r="E703" s="252"/>
      <c r="F703" s="407"/>
    </row>
    <row r="704" spans="1:6">
      <c r="A704" s="252"/>
      <c r="B704" s="252"/>
      <c r="C704" s="252"/>
      <c r="D704" s="252"/>
      <c r="E704" s="252"/>
      <c r="F704" s="407"/>
    </row>
    <row r="705" spans="1:6">
      <c r="A705" s="252"/>
      <c r="B705" s="252"/>
      <c r="C705" s="252"/>
      <c r="D705" s="252"/>
      <c r="E705" s="252"/>
      <c r="F705" s="407"/>
    </row>
  </sheetData>
  <pageMargins left="0.70866141732283472" right="0.34"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6040</v>
      </c>
      <c r="D5" s="122"/>
      <c r="E5" s="122"/>
      <c r="F5" s="122"/>
    </row>
    <row r="6" spans="1:6">
      <c r="A6" s="133"/>
      <c r="B6" s="134"/>
      <c r="C6" s="135" t="s">
        <v>6041</v>
      </c>
      <c r="D6" s="136"/>
      <c r="E6" s="137"/>
      <c r="F6" s="138"/>
    </row>
    <row r="7" spans="1:6">
      <c r="A7" s="133"/>
      <c r="B7" s="134"/>
      <c r="C7" s="139" t="s">
        <v>6042</v>
      </c>
      <c r="D7" s="136"/>
      <c r="E7" s="137"/>
      <c r="F7" s="133"/>
    </row>
    <row r="8" spans="1:6">
      <c r="A8" s="133"/>
      <c r="B8" s="134"/>
      <c r="C8" s="140" t="s">
        <v>4155</v>
      </c>
      <c r="D8" s="136"/>
      <c r="E8" s="137"/>
      <c r="F8" s="133"/>
    </row>
    <row r="9" spans="1:6">
      <c r="A9" s="133"/>
      <c r="B9" s="134"/>
      <c r="C9" s="139" t="s">
        <v>5595</v>
      </c>
      <c r="D9" s="136">
        <f>4.5*6.42*2</f>
        <v>57.78</v>
      </c>
      <c r="E9" s="137"/>
      <c r="F9" s="133"/>
    </row>
    <row r="10" spans="1:6">
      <c r="A10" s="133"/>
      <c r="B10" s="134"/>
      <c r="C10" s="139" t="s">
        <v>5596</v>
      </c>
      <c r="D10" s="136">
        <f>4.5*1*2</f>
        <v>9</v>
      </c>
      <c r="E10" s="137">
        <f>5/12</f>
        <v>0.42</v>
      </c>
      <c r="F10" s="133"/>
    </row>
    <row r="11" spans="1:6">
      <c r="A11" s="133"/>
      <c r="B11" s="134"/>
      <c r="C11" s="139" t="s">
        <v>5597</v>
      </c>
      <c r="D11" s="136">
        <f>4.5*1*2</f>
        <v>9</v>
      </c>
      <c r="E11" s="137"/>
      <c r="F11" s="133"/>
    </row>
    <row r="12" spans="1:6">
      <c r="A12" s="133"/>
      <c r="B12" s="134"/>
      <c r="C12" s="139" t="s">
        <v>5598</v>
      </c>
      <c r="D12" s="136">
        <f>6.42*1*2</f>
        <v>12.84</v>
      </c>
      <c r="E12" s="137"/>
      <c r="F12" s="133"/>
    </row>
    <row r="13" spans="1:6">
      <c r="A13" s="133"/>
      <c r="B13" s="134"/>
      <c r="C13" s="139" t="s">
        <v>5599</v>
      </c>
      <c r="D13" s="136">
        <f>SUM(D9:D12)</f>
        <v>88.62</v>
      </c>
      <c r="E13" s="137"/>
      <c r="F13" s="133"/>
    </row>
    <row r="14" spans="1:6">
      <c r="A14" s="133"/>
      <c r="B14" s="134"/>
      <c r="C14" s="140"/>
      <c r="D14" s="136">
        <f>D13*10%</f>
        <v>8.86</v>
      </c>
      <c r="E14" s="137"/>
      <c r="F14" s="133"/>
    </row>
    <row r="15" spans="1:6">
      <c r="A15" s="133"/>
      <c r="B15" s="134"/>
      <c r="C15" s="139" t="s">
        <v>5600</v>
      </c>
      <c r="D15" s="136">
        <f>SUM(D13:D14)</f>
        <v>97.48</v>
      </c>
      <c r="E15" s="137"/>
      <c r="F15" s="133"/>
    </row>
    <row r="16" spans="1:6">
      <c r="A16" s="144"/>
      <c r="B16" s="134"/>
      <c r="C16" s="140" t="s">
        <v>5601</v>
      </c>
      <c r="D16" s="136">
        <f>D15*1.17</f>
        <v>114.05</v>
      </c>
      <c r="E16" s="137"/>
      <c r="F16" s="133"/>
    </row>
    <row r="17" spans="1:6">
      <c r="A17" s="133"/>
      <c r="B17" s="134"/>
      <c r="C17" s="139" t="s">
        <v>5602</v>
      </c>
      <c r="D17" s="136"/>
      <c r="E17" s="137"/>
      <c r="F17" s="133"/>
    </row>
    <row r="18" spans="1:6">
      <c r="A18" s="133"/>
      <c r="B18" s="134"/>
      <c r="C18" s="139"/>
      <c r="D18" s="136"/>
      <c r="E18" s="137"/>
      <c r="F18" s="133"/>
    </row>
    <row r="19" spans="1:6">
      <c r="A19" s="133">
        <v>81.099999999999994</v>
      </c>
      <c r="B19" s="134" t="s">
        <v>913</v>
      </c>
      <c r="C19" s="139" t="s">
        <v>5499</v>
      </c>
      <c r="D19" s="136">
        <v>51.4</v>
      </c>
      <c r="E19" s="137" t="s">
        <v>913</v>
      </c>
      <c r="F19" s="133"/>
    </row>
    <row r="20" spans="1:6">
      <c r="A20" s="144"/>
      <c r="B20" s="134"/>
      <c r="C20" s="140" t="s">
        <v>4163</v>
      </c>
      <c r="D20" s="136"/>
      <c r="E20" s="137"/>
      <c r="F20" s="133">
        <f t="shared" ref="F20:F65" si="0">D20*A20</f>
        <v>0</v>
      </c>
    </row>
    <row r="21" spans="1:6">
      <c r="A21" s="133"/>
      <c r="B21" s="134"/>
      <c r="C21" s="139" t="s">
        <v>4164</v>
      </c>
      <c r="D21" s="136"/>
      <c r="E21" s="137"/>
      <c r="F21" s="133">
        <f t="shared" si="0"/>
        <v>0</v>
      </c>
    </row>
    <row r="22" spans="1:6">
      <c r="A22" s="133"/>
      <c r="B22" s="134"/>
      <c r="C22" s="139" t="s">
        <v>5240</v>
      </c>
      <c r="D22" s="136"/>
      <c r="E22" s="137"/>
      <c r="F22" s="133">
        <f t="shared" si="0"/>
        <v>0</v>
      </c>
    </row>
    <row r="23" spans="1:6">
      <c r="A23" s="133"/>
      <c r="B23" s="134"/>
      <c r="C23" s="139" t="s">
        <v>5198</v>
      </c>
      <c r="D23" s="136"/>
      <c r="E23" s="137"/>
      <c r="F23" s="133">
        <f t="shared" si="0"/>
        <v>0</v>
      </c>
    </row>
    <row r="24" spans="1:6">
      <c r="A24" s="133"/>
      <c r="B24" s="134"/>
      <c r="C24" s="139" t="s">
        <v>5239</v>
      </c>
      <c r="D24" s="136"/>
      <c r="E24" s="137"/>
      <c r="F24" s="133">
        <f t="shared" si="0"/>
        <v>0</v>
      </c>
    </row>
    <row r="25" spans="1:6" ht="31.5">
      <c r="A25" s="133"/>
      <c r="B25" s="134"/>
      <c r="C25" s="139" t="s">
        <v>5603</v>
      </c>
      <c r="D25" s="136"/>
      <c r="E25" s="137"/>
      <c r="F25" s="133">
        <f t="shared" si="0"/>
        <v>0</v>
      </c>
    </row>
    <row r="26" spans="1:6">
      <c r="A26" s="133"/>
      <c r="B26" s="134"/>
      <c r="C26" s="139" t="s">
        <v>5604</v>
      </c>
      <c r="D26" s="136"/>
      <c r="E26" s="137"/>
      <c r="F26" s="133">
        <f t="shared" si="0"/>
        <v>0</v>
      </c>
    </row>
    <row r="27" spans="1:6">
      <c r="A27" s="133"/>
      <c r="B27" s="134"/>
      <c r="C27" s="139" t="s">
        <v>5605</v>
      </c>
      <c r="D27" s="136"/>
      <c r="E27" s="137"/>
      <c r="F27" s="133">
        <f t="shared" si="0"/>
        <v>0</v>
      </c>
    </row>
    <row r="28" spans="1:6">
      <c r="A28" s="133">
        <v>35</v>
      </c>
      <c r="B28" s="134" t="s">
        <v>913</v>
      </c>
      <c r="C28" s="139" t="s">
        <v>5500</v>
      </c>
      <c r="D28" s="136">
        <f>D19</f>
        <v>51.4</v>
      </c>
      <c r="E28" s="137" t="s">
        <v>913</v>
      </c>
      <c r="F28" s="133">
        <f t="shared" si="0"/>
        <v>1799</v>
      </c>
    </row>
    <row r="29" spans="1:6">
      <c r="A29" s="133"/>
      <c r="B29" s="134"/>
      <c r="C29" s="140" t="s">
        <v>4172</v>
      </c>
      <c r="D29" s="136"/>
      <c r="E29" s="137"/>
      <c r="F29" s="133">
        <f t="shared" si="0"/>
        <v>0</v>
      </c>
    </row>
    <row r="30" spans="1:6">
      <c r="A30" s="133"/>
      <c r="B30" s="134"/>
      <c r="C30" s="139" t="s">
        <v>4173</v>
      </c>
      <c r="D30" s="136"/>
      <c r="E30" s="137"/>
      <c r="F30" s="133">
        <f t="shared" si="0"/>
        <v>0</v>
      </c>
    </row>
    <row r="31" spans="1:6">
      <c r="A31" s="133"/>
      <c r="B31" s="134"/>
      <c r="C31" s="139" t="s">
        <v>4174</v>
      </c>
      <c r="D31" s="136"/>
      <c r="E31" s="137"/>
      <c r="F31" s="133">
        <f t="shared" si="0"/>
        <v>0</v>
      </c>
    </row>
    <row r="32" spans="1:6">
      <c r="A32" s="133"/>
      <c r="B32" s="134"/>
      <c r="C32" s="139" t="s">
        <v>5606</v>
      </c>
      <c r="D32" s="136"/>
      <c r="E32" s="137"/>
      <c r="F32" s="133">
        <f t="shared" si="0"/>
        <v>0</v>
      </c>
    </row>
    <row r="33" spans="1:6">
      <c r="A33" s="133"/>
      <c r="B33" s="134"/>
      <c r="C33" s="139" t="s">
        <v>5607</v>
      </c>
      <c r="D33" s="136"/>
      <c r="E33" s="137"/>
      <c r="F33" s="133">
        <f t="shared" si="0"/>
        <v>0</v>
      </c>
    </row>
    <row r="34" spans="1:6">
      <c r="A34" s="133"/>
      <c r="B34" s="134"/>
      <c r="C34" s="139" t="s">
        <v>5608</v>
      </c>
      <c r="D34" s="136"/>
      <c r="E34" s="137"/>
      <c r="F34" s="133">
        <f t="shared" si="0"/>
        <v>0</v>
      </c>
    </row>
    <row r="35" spans="1:6" ht="31.5">
      <c r="A35" s="133"/>
      <c r="B35" s="134"/>
      <c r="C35" s="139" t="s">
        <v>5609</v>
      </c>
      <c r="D35" s="136"/>
      <c r="E35" s="137"/>
      <c r="F35" s="133">
        <f t="shared" si="0"/>
        <v>0</v>
      </c>
    </row>
    <row r="36" spans="1:6">
      <c r="A36" s="133"/>
      <c r="B36" s="134"/>
      <c r="C36" s="139" t="s">
        <v>5610</v>
      </c>
      <c r="D36" s="136"/>
      <c r="E36" s="137"/>
      <c r="F36" s="133">
        <f t="shared" si="0"/>
        <v>0</v>
      </c>
    </row>
    <row r="37" spans="1:6">
      <c r="A37" s="133"/>
      <c r="B37" s="134"/>
      <c r="C37" s="139" t="s">
        <v>5611</v>
      </c>
      <c r="D37" s="136"/>
      <c r="E37" s="137"/>
      <c r="F37" s="133">
        <f t="shared" si="0"/>
        <v>0</v>
      </c>
    </row>
    <row r="38" spans="1:6">
      <c r="A38" s="133"/>
      <c r="B38" s="134"/>
      <c r="C38" s="139" t="s">
        <v>5612</v>
      </c>
      <c r="D38" s="136"/>
      <c r="E38" s="137"/>
      <c r="F38" s="133">
        <f t="shared" si="0"/>
        <v>0</v>
      </c>
    </row>
    <row r="39" spans="1:6">
      <c r="A39" s="133"/>
      <c r="B39" s="134"/>
      <c r="C39" s="139"/>
      <c r="D39" s="136"/>
      <c r="E39" s="137"/>
      <c r="F39" s="133">
        <f t="shared" si="0"/>
        <v>0</v>
      </c>
    </row>
    <row r="40" spans="1:6">
      <c r="A40" s="133"/>
      <c r="B40" s="134"/>
      <c r="C40" s="139" t="s">
        <v>5613</v>
      </c>
      <c r="D40" s="136"/>
      <c r="E40" s="137"/>
      <c r="F40" s="133">
        <f t="shared" si="0"/>
        <v>0</v>
      </c>
    </row>
    <row r="41" spans="1:6">
      <c r="A41" s="133"/>
      <c r="B41" s="134"/>
      <c r="C41" s="139"/>
      <c r="D41" s="136"/>
      <c r="E41" s="137"/>
      <c r="F41" s="133">
        <f t="shared" si="0"/>
        <v>0</v>
      </c>
    </row>
    <row r="42" spans="1:6">
      <c r="A42" s="133">
        <v>2</v>
      </c>
      <c r="B42" s="134" t="s">
        <v>913</v>
      </c>
      <c r="C42" s="139" t="s">
        <v>5504</v>
      </c>
      <c r="D42" s="136">
        <v>526</v>
      </c>
      <c r="E42" s="137" t="s">
        <v>913</v>
      </c>
      <c r="F42" s="133">
        <f t="shared" si="0"/>
        <v>1052</v>
      </c>
    </row>
    <row r="43" spans="1:6">
      <c r="A43" s="133">
        <v>6.2</v>
      </c>
      <c r="B43" s="134" t="s">
        <v>913</v>
      </c>
      <c r="C43" s="139" t="s">
        <v>5505</v>
      </c>
      <c r="D43" s="136">
        <v>10</v>
      </c>
      <c r="E43" s="137" t="s">
        <v>913</v>
      </c>
      <c r="F43" s="133">
        <f t="shared" si="0"/>
        <v>62</v>
      </c>
    </row>
    <row r="44" spans="1:6">
      <c r="A44" s="133">
        <v>3.66</v>
      </c>
      <c r="B44" s="139" t="s">
        <v>826</v>
      </c>
      <c r="C44" s="139" t="s">
        <v>6043</v>
      </c>
      <c r="D44" s="136">
        <v>114</v>
      </c>
      <c r="E44" s="137" t="s">
        <v>826</v>
      </c>
      <c r="F44" s="133">
        <f t="shared" si="0"/>
        <v>417.24</v>
      </c>
    </row>
    <row r="45" spans="1:6">
      <c r="A45" s="133">
        <v>15.4</v>
      </c>
      <c r="B45" s="139" t="s">
        <v>913</v>
      </c>
      <c r="C45" s="139" t="s">
        <v>6044</v>
      </c>
      <c r="D45" s="136">
        <v>51.4</v>
      </c>
      <c r="E45" s="137" t="s">
        <v>913</v>
      </c>
      <c r="F45" s="133">
        <f t="shared" si="0"/>
        <v>791.56</v>
      </c>
    </row>
    <row r="46" spans="1:6">
      <c r="A46" s="133">
        <v>3</v>
      </c>
      <c r="B46" s="139" t="s">
        <v>1030</v>
      </c>
      <c r="C46" s="139" t="s">
        <v>5483</v>
      </c>
      <c r="D46" s="136">
        <v>696.43</v>
      </c>
      <c r="E46" s="137" t="s">
        <v>1398</v>
      </c>
      <c r="F46" s="133">
        <f t="shared" si="0"/>
        <v>2089.29</v>
      </c>
    </row>
    <row r="47" spans="1:6">
      <c r="A47" s="123">
        <v>1</v>
      </c>
      <c r="B47" s="124" t="s">
        <v>1030</v>
      </c>
      <c r="C47" s="128" t="s">
        <v>5729</v>
      </c>
      <c r="D47" s="123">
        <v>76.849999999999994</v>
      </c>
      <c r="E47" s="126" t="s">
        <v>1398</v>
      </c>
      <c r="F47" s="133">
        <f t="shared" si="0"/>
        <v>76.849999999999994</v>
      </c>
    </row>
    <row r="48" spans="1:6">
      <c r="A48" s="123">
        <v>3</v>
      </c>
      <c r="B48" s="124" t="s">
        <v>1030</v>
      </c>
      <c r="C48" s="128" t="s">
        <v>6045</v>
      </c>
      <c r="D48" s="123">
        <v>188.4</v>
      </c>
      <c r="E48" s="126" t="s">
        <v>1398</v>
      </c>
      <c r="F48" s="133">
        <f t="shared" si="0"/>
        <v>565.20000000000005</v>
      </c>
    </row>
    <row r="49" spans="1:6">
      <c r="A49" s="123">
        <v>1</v>
      </c>
      <c r="B49" s="124" t="s">
        <v>560</v>
      </c>
      <c r="C49" s="128" t="s">
        <v>6046</v>
      </c>
      <c r="D49" s="123">
        <v>84.4</v>
      </c>
      <c r="E49" s="126" t="s">
        <v>1398</v>
      </c>
      <c r="F49" s="133">
        <f t="shared" si="0"/>
        <v>84.4</v>
      </c>
    </row>
    <row r="50" spans="1:6">
      <c r="A50" s="123">
        <v>1</v>
      </c>
      <c r="B50" s="124" t="s">
        <v>1030</v>
      </c>
      <c r="C50" s="128" t="s">
        <v>5485</v>
      </c>
      <c r="D50" s="123">
        <v>67.150000000000006</v>
      </c>
      <c r="E50" s="126" t="s">
        <v>1398</v>
      </c>
      <c r="F50" s="133">
        <f t="shared" si="0"/>
        <v>67.150000000000006</v>
      </c>
    </row>
    <row r="51" spans="1:6">
      <c r="A51" s="123">
        <v>1</v>
      </c>
      <c r="B51" s="124" t="s">
        <v>1030</v>
      </c>
      <c r="C51" s="128" t="s">
        <v>5486</v>
      </c>
      <c r="D51" s="123">
        <v>37.65</v>
      </c>
      <c r="E51" s="126" t="s">
        <v>1398</v>
      </c>
      <c r="F51" s="133">
        <f t="shared" si="0"/>
        <v>37.65</v>
      </c>
    </row>
    <row r="52" spans="1:6">
      <c r="A52" s="132">
        <v>1</v>
      </c>
      <c r="B52" s="124" t="s">
        <v>560</v>
      </c>
      <c r="C52" s="249" t="s">
        <v>6047</v>
      </c>
      <c r="D52" s="250">
        <v>575</v>
      </c>
      <c r="E52" s="126" t="s">
        <v>1398</v>
      </c>
      <c r="F52" s="133">
        <f t="shared" si="0"/>
        <v>575</v>
      </c>
    </row>
    <row r="53" spans="1:6">
      <c r="A53" s="123">
        <v>1</v>
      </c>
      <c r="B53" s="124" t="s">
        <v>560</v>
      </c>
      <c r="C53" s="128" t="s">
        <v>6048</v>
      </c>
      <c r="D53" s="250">
        <v>256</v>
      </c>
      <c r="E53" s="126" t="s">
        <v>1398</v>
      </c>
      <c r="F53" s="133">
        <f t="shared" si="0"/>
        <v>256</v>
      </c>
    </row>
    <row r="54" spans="1:6">
      <c r="A54" s="123">
        <v>200</v>
      </c>
      <c r="B54" s="124" t="s">
        <v>4191</v>
      </c>
      <c r="C54" s="128" t="s">
        <v>5487</v>
      </c>
      <c r="D54" s="250">
        <v>1</v>
      </c>
      <c r="E54" s="126" t="s">
        <v>4191</v>
      </c>
      <c r="F54" s="133">
        <f t="shared" si="0"/>
        <v>200</v>
      </c>
    </row>
    <row r="55" spans="1:6">
      <c r="A55" s="123"/>
      <c r="B55" s="124"/>
      <c r="C55" s="128" t="s">
        <v>4193</v>
      </c>
      <c r="D55" s="250">
        <v>0</v>
      </c>
      <c r="E55" s="126"/>
      <c r="F55" s="133">
        <f t="shared" si="0"/>
        <v>0</v>
      </c>
    </row>
    <row r="56" spans="1:6">
      <c r="A56" s="123"/>
      <c r="B56" s="124"/>
      <c r="C56" s="128" t="s">
        <v>5488</v>
      </c>
      <c r="D56" s="250">
        <v>0</v>
      </c>
      <c r="E56" s="126"/>
      <c r="F56" s="133">
        <f t="shared" si="0"/>
        <v>0</v>
      </c>
    </row>
    <row r="57" spans="1:6">
      <c r="A57" s="123">
        <v>10.3</v>
      </c>
      <c r="B57" s="124" t="s">
        <v>826</v>
      </c>
      <c r="C57" s="128" t="s">
        <v>5489</v>
      </c>
      <c r="D57" s="250">
        <v>20</v>
      </c>
      <c r="E57" s="126" t="s">
        <v>826</v>
      </c>
      <c r="F57" s="133">
        <f t="shared" si="0"/>
        <v>206</v>
      </c>
    </row>
    <row r="58" spans="1:6">
      <c r="A58" s="123">
        <v>0.7</v>
      </c>
      <c r="B58" s="124" t="s">
        <v>4481</v>
      </c>
      <c r="C58" s="128" t="s">
        <v>5490</v>
      </c>
      <c r="D58" s="250">
        <v>1260</v>
      </c>
      <c r="E58" s="126" t="s">
        <v>4481</v>
      </c>
      <c r="F58" s="133">
        <f t="shared" si="0"/>
        <v>882</v>
      </c>
    </row>
    <row r="59" spans="1:6">
      <c r="A59" s="123">
        <v>3</v>
      </c>
      <c r="B59" s="124" t="s">
        <v>1432</v>
      </c>
      <c r="C59" s="128" t="s">
        <v>5491</v>
      </c>
      <c r="D59" s="250">
        <v>17.86</v>
      </c>
      <c r="E59" s="129" t="s">
        <v>1714</v>
      </c>
      <c r="F59" s="133">
        <f t="shared" si="0"/>
        <v>53.58</v>
      </c>
    </row>
    <row r="60" spans="1:6">
      <c r="A60" s="123">
        <v>1</v>
      </c>
      <c r="B60" s="124" t="s">
        <v>145</v>
      </c>
      <c r="C60" s="128" t="s">
        <v>5492</v>
      </c>
      <c r="D60" s="250">
        <v>90</v>
      </c>
      <c r="E60" s="126" t="s">
        <v>145</v>
      </c>
      <c r="F60" s="133">
        <f t="shared" si="0"/>
        <v>90</v>
      </c>
    </row>
    <row r="61" spans="1:6">
      <c r="A61" s="133">
        <v>5</v>
      </c>
      <c r="B61" s="134" t="s">
        <v>3440</v>
      </c>
      <c r="C61" s="139" t="s">
        <v>5493</v>
      </c>
      <c r="D61" s="136">
        <v>9.8000000000000007</v>
      </c>
      <c r="E61" s="137" t="s">
        <v>3440</v>
      </c>
      <c r="F61" s="133">
        <f t="shared" si="0"/>
        <v>49</v>
      </c>
    </row>
    <row r="62" spans="1:6">
      <c r="A62" s="133">
        <v>35</v>
      </c>
      <c r="B62" s="134" t="s">
        <v>913</v>
      </c>
      <c r="C62" s="139" t="s">
        <v>5494</v>
      </c>
      <c r="D62" s="136">
        <v>47.8</v>
      </c>
      <c r="E62" s="137" t="s">
        <v>913</v>
      </c>
      <c r="F62" s="133">
        <f t="shared" si="0"/>
        <v>1673</v>
      </c>
    </row>
    <row r="63" spans="1:6">
      <c r="A63" s="133">
        <v>2</v>
      </c>
      <c r="B63" s="134" t="s">
        <v>1432</v>
      </c>
      <c r="C63" s="139" t="s">
        <v>5495</v>
      </c>
      <c r="D63" s="136">
        <v>988</v>
      </c>
      <c r="E63" s="137" t="s">
        <v>1714</v>
      </c>
      <c r="F63" s="133">
        <f t="shared" si="0"/>
        <v>1976</v>
      </c>
    </row>
    <row r="64" spans="1:6">
      <c r="A64" s="133">
        <v>50</v>
      </c>
      <c r="B64" s="134" t="s">
        <v>4198</v>
      </c>
      <c r="C64" s="139" t="s">
        <v>5496</v>
      </c>
      <c r="D64" s="136">
        <v>10</v>
      </c>
      <c r="E64" s="137" t="s">
        <v>4200</v>
      </c>
      <c r="F64" s="133">
        <f t="shared" si="0"/>
        <v>500</v>
      </c>
    </row>
    <row r="65" spans="1:6" ht="47.25">
      <c r="A65" s="123">
        <v>9</v>
      </c>
      <c r="B65" s="124" t="s">
        <v>4201</v>
      </c>
      <c r="C65" s="128" t="s">
        <v>6049</v>
      </c>
      <c r="D65" s="126">
        <v>56.7</v>
      </c>
      <c r="E65" s="126" t="s">
        <v>4202</v>
      </c>
      <c r="F65" s="133">
        <f t="shared" si="0"/>
        <v>510.3</v>
      </c>
    </row>
    <row r="66" spans="1:6">
      <c r="A66" s="123"/>
      <c r="B66" s="134"/>
      <c r="C66" s="139" t="s">
        <v>4203</v>
      </c>
      <c r="D66" s="136"/>
      <c r="E66" s="137"/>
      <c r="F66" s="133"/>
    </row>
    <row r="67" spans="1:6">
      <c r="A67" s="123"/>
      <c r="B67" s="134"/>
      <c r="C67" s="139"/>
      <c r="D67" s="136" t="s">
        <v>2245</v>
      </c>
      <c r="E67" s="137"/>
      <c r="F67" s="138">
        <f>SUM(F20:F66)</f>
        <v>14013.22</v>
      </c>
    </row>
    <row r="68" spans="1:6" ht="31.5">
      <c r="A68" s="158"/>
      <c r="B68" s="134"/>
      <c r="C68" s="139" t="s">
        <v>4204</v>
      </c>
      <c r="D68" s="136"/>
      <c r="E68" s="137"/>
      <c r="F68" s="133">
        <f>F67*2/100</f>
        <v>280.26</v>
      </c>
    </row>
    <row r="69" spans="1:6" ht="18.75">
      <c r="A69" s="122"/>
      <c r="B69" s="134"/>
      <c r="C69" s="139"/>
      <c r="D69" s="136"/>
      <c r="E69" s="137"/>
      <c r="F69" s="138">
        <f>SUM(F67:F68)</f>
        <v>14293.48</v>
      </c>
    </row>
    <row r="70" spans="1:6" ht="18.75">
      <c r="A70" s="122"/>
      <c r="B70" s="124"/>
      <c r="C70" s="128" t="s">
        <v>4205</v>
      </c>
      <c r="D70" s="126"/>
      <c r="E70" s="126"/>
      <c r="F70" s="123">
        <v>400</v>
      </c>
    </row>
    <row r="71" spans="1:6" ht="18.75">
      <c r="A71" s="122"/>
      <c r="B71" s="124"/>
      <c r="C71" s="128" t="s">
        <v>4206</v>
      </c>
      <c r="D71" s="126"/>
      <c r="E71" s="126"/>
      <c r="F71" s="123">
        <v>400</v>
      </c>
    </row>
    <row r="72" spans="1:6" ht="18.75">
      <c r="A72" s="122"/>
      <c r="B72" s="124"/>
      <c r="C72" s="128"/>
      <c r="D72" s="126"/>
      <c r="E72" s="126"/>
      <c r="F72" s="130">
        <f>SUM(F69:F71)</f>
        <v>15093.48</v>
      </c>
    </row>
    <row r="73" spans="1:6" ht="18.75">
      <c r="A73" s="122"/>
      <c r="B73" s="157"/>
      <c r="C73" s="128"/>
      <c r="D73" s="126"/>
      <c r="E73" s="125" t="s">
        <v>5446</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18</vt:i4>
      </vt:variant>
    </vt:vector>
  </HeadingPairs>
  <TitlesOfParts>
    <vt:vector size="31" baseType="lpstr">
      <vt:lpstr>pile data ( M30 grade) (2)</vt:lpstr>
      <vt:lpstr>2 in 1 incl. F.E.</vt:lpstr>
      <vt:lpstr>pile data </vt:lpstr>
      <vt:lpstr>  Coastal  Elec.Data </vt:lpstr>
      <vt:lpstr>lead  charge</vt:lpstr>
      <vt:lpstr>Elec.Data</vt:lpstr>
      <vt:lpstr>Sliding and french window</vt:lpstr>
      <vt:lpstr>Data</vt:lpstr>
      <vt:lpstr>building</vt:lpstr>
      <vt:lpstr>Abstract</vt:lpstr>
      <vt:lpstr>details</vt:lpstr>
      <vt:lpstr>Print Data</vt:lpstr>
      <vt:lpstr>Sheet1</vt:lpstr>
      <vt:lpstr>'  Coastal  Elec.Data '!Print_Area</vt:lpstr>
      <vt:lpstr>'2 in 1 incl. F.E.'!Print_Area</vt:lpstr>
      <vt:lpstr>Abstract!Print_Area</vt:lpstr>
      <vt:lpstr>building!Print_Area</vt:lpstr>
      <vt:lpstr>Data!Print_Area</vt:lpstr>
      <vt:lpstr>details!Print_Area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DBBPM</cp:lastModifiedBy>
  <cp:lastPrinted>2023-09-26T09:46:01Z</cp:lastPrinted>
  <dcterms:created xsi:type="dcterms:W3CDTF">2003-09-02T05:17:23Z</dcterms:created>
  <dcterms:modified xsi:type="dcterms:W3CDTF">2023-09-26T09:46:02Z</dcterms:modified>
</cp:coreProperties>
</file>